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500" activeTab="0"/>
  </bookViews>
  <sheets>
    <sheet name="Sheet2" sheetId="1" r:id="rId1"/>
  </sheets>
  <definedNames>
    <definedName name="Excel_BuiltIn_Print_Area_1">'Sheet2'!$B$1:$N$780</definedName>
    <definedName name="Excel_BuiltIn_Print_Area_1_1">'Sheet2'!$B$1:$D$780</definedName>
    <definedName name="Excel_BuiltIn_Print_Area_1_1_1">'Sheet2'!$B$1:$N$762</definedName>
    <definedName name="Excel_BuiltIn_Print_Area_1_1_1_1">'Sheet2'!$B$1:$D$737</definedName>
    <definedName name="Excel_BuiltIn_Print_Area_1_1_1_1_1">'Sheet2'!$B$1:$D$763</definedName>
    <definedName name="Excel_BuiltIn_Print_Area_1_1_1_1_1_1">'Sheet2'!$B$1:$K$775</definedName>
    <definedName name="Excel_BuiltIn_Print_Area_1_1_1_1_1_1_1">'Sheet2'!$B$1:$D$775</definedName>
    <definedName name="Excel_BuiltIn_Print_Area_1_1_1_1_1_1_1_1">'Sheet2'!$B$1:$K$715</definedName>
    <definedName name="Excel_BuiltIn_Print_Area_1_1_1_1_1_1_1_1_1">'Sheet2'!$B$1:$D$761</definedName>
    <definedName name="Excel_BuiltIn_Print_Area_1_1_1_1_1_1_1_1_1_1">'Sheet2'!$B$2:$D$761</definedName>
    <definedName name="Excel_BuiltIn_Print_Area_1_1_1_1_1_1_1_1_1_1_1">'Sheet2'!$B$2:$D$761</definedName>
    <definedName name="Excel_BuiltIn_Print_Area_1_1_1_1_1_1_1_1_1_1_1_1">#REF!</definedName>
    <definedName name="Excel_BuiltIn_Print_Area_1_1_1_1_1_1_1_1_1_1_1_1_1">#REF!</definedName>
    <definedName name="Excel_BuiltIn_Print_Area_2_1">'Sheet2'!$B$2:$D$737</definedName>
    <definedName name="Excel_BuiltIn_Print_Area_2_1_1">'Sheet2'!$B$2:$D$737</definedName>
    <definedName name="Excel_BuiltIn_Print_Titles">'Sheet2'!#REF!</definedName>
    <definedName name="_xlnm.Print_Titles" localSheetId="0">'Sheet2'!$9:$9</definedName>
    <definedName name="_xlnm.Print_Area" localSheetId="0">'Sheet2'!$B$1:$AA$780</definedName>
  </definedNames>
  <calcPr fullCalcOnLoad="1"/>
</workbook>
</file>

<file path=xl/comments1.xml><?xml version="1.0" encoding="utf-8"?>
<comments xmlns="http://schemas.openxmlformats.org/spreadsheetml/2006/main">
  <authors>
    <author/>
  </authors>
  <commentList>
    <comment ref="E128" authorId="0">
      <text>
        <r>
          <rPr>
            <b/>
            <sz val="9"/>
            <color indexed="8"/>
            <rFont val="Tahoma"/>
            <family val="2"/>
          </rPr>
          <t xml:space="preserve">utilizator seppd1:
</t>
        </r>
        <r>
          <rPr>
            <sz val="9"/>
            <color indexed="8"/>
            <rFont val="Tahoma"/>
            <family val="2"/>
          </rPr>
          <t xml:space="preserve">-3926 de la Amb
</t>
        </r>
      </text>
    </comment>
    <comment ref="E509" authorId="0">
      <text>
        <r>
          <rPr>
            <b/>
            <sz val="9"/>
            <color indexed="8"/>
            <rFont val="Tahoma"/>
            <family val="2"/>
          </rPr>
          <t xml:space="preserve">utilizator seppd1:
</t>
        </r>
        <r>
          <rPr>
            <sz val="9"/>
            <color indexed="8"/>
            <rFont val="Tahoma"/>
            <family val="2"/>
          </rPr>
          <t xml:space="preserve">-180 lei de la Amb
</t>
        </r>
      </text>
    </comment>
  </commentList>
</comments>
</file>

<file path=xl/sharedStrings.xml><?xml version="1.0" encoding="utf-8"?>
<sst xmlns="http://schemas.openxmlformats.org/spreadsheetml/2006/main" count="861" uniqueCount="189">
  <si>
    <t>MUNICIPIUL CRAIOVA</t>
  </si>
  <si>
    <t>PRIMARIA MUNICIPIULUI CRAIOVA</t>
  </si>
  <si>
    <t>DIRECTIA ELABORARE SI IMPLEMENTARE PROIECTE</t>
  </si>
  <si>
    <t>PROIECTE CU FINANTARE DIN FONDURI EXTERNE NERAMBURSABILE POSTADERARE ȘI DIN PLANUL NAȚIONAL DE REDRESARE ȘI REZILIENȚĂ 2024</t>
  </si>
  <si>
    <t>mii lei</t>
  </si>
  <si>
    <t>Capitol Bugetar</t>
  </si>
  <si>
    <t>Denumire</t>
  </si>
  <si>
    <t>TRIM I</t>
  </si>
  <si>
    <t>Influente Trim I</t>
  </si>
  <si>
    <t xml:space="preserve">TRIM I </t>
  </si>
  <si>
    <t>TRIM II</t>
  </si>
  <si>
    <t>Influente Trim II</t>
  </si>
  <si>
    <t xml:space="preserve">TRIM II </t>
  </si>
  <si>
    <t>TRIM III</t>
  </si>
  <si>
    <t>Influente Trim III</t>
  </si>
  <si>
    <t xml:space="preserve">TRIM III </t>
  </si>
  <si>
    <t xml:space="preserve">TRIM IV </t>
  </si>
  <si>
    <t>Infleuente Trim IV</t>
  </si>
  <si>
    <t>Buget final 2023</t>
  </si>
  <si>
    <t>Cap. 65.02 (Invatamant)</t>
  </si>
  <si>
    <t>65.02.13</t>
  </si>
  <si>
    <t>Construire cresa, str.Potelu, Cartier Romanescu,T27,P1 Municipiul Craiova (PNRR)</t>
  </si>
  <si>
    <t>60.01</t>
  </si>
  <si>
    <t>Fonduri europene nerambursabile</t>
  </si>
  <si>
    <t>60.02</t>
  </si>
  <si>
    <t>Finanțare publică națională</t>
  </si>
  <si>
    <t>60.03</t>
  </si>
  <si>
    <t>Sume aferente TVA</t>
  </si>
  <si>
    <t>42.02.88.01</t>
  </si>
  <si>
    <t>42.02.88.02</t>
  </si>
  <si>
    <t>Finantare publica naționala</t>
  </si>
  <si>
    <t>42.02.88.03</t>
  </si>
  <si>
    <t>Construire cresa, str.Artileriei, nr.13,fosta Artileriei, zona Blocurilor ANL, Cartierul Veteranilor, Municipiul Craiova (PNRR)</t>
  </si>
  <si>
    <t>65.02.03.01</t>
  </si>
  <si>
    <t xml:space="preserve">Cresterea eficientei energetice a cladirilor publice din Municipiul Craiova apartinând sectorului Educație - Gradinița cu program prelungit ”Elena Farago” inclusiv Creșa nr. 8 </t>
  </si>
  <si>
    <t>56.48.01</t>
  </si>
  <si>
    <t>56.48.02</t>
  </si>
  <si>
    <t>56.48.03</t>
  </si>
  <si>
    <t>42.02.20</t>
  </si>
  <si>
    <t>45.02.01.01</t>
  </si>
  <si>
    <t>45.02.01.02</t>
  </si>
  <si>
    <t>Venituri proprii</t>
  </si>
  <si>
    <t>Cresterea eficientei energetice a cladirilor publice din Municipiul Craiova apartinând sectorului Educație - Gradinița cu program prelungit ”Floare Albastră” inclusiv Creșa nr. 3</t>
  </si>
  <si>
    <t xml:space="preserve">Cresterea eficientei energetice a cladirilor publice din Municipiul Craiova apartinând sectorului Educație - Gradinița cu program prelungit ”Piticot” inclusiv Creșa nr. 5  </t>
  </si>
  <si>
    <t>58.01.01</t>
  </si>
  <si>
    <t>58.01.02</t>
  </si>
  <si>
    <t>58.01.03</t>
  </si>
  <si>
    <t>42.02.69</t>
  </si>
  <si>
    <t>48.02.01.01</t>
  </si>
  <si>
    <t>48.02.01.02</t>
  </si>
  <si>
    <t>Creşterea accesului la educatie prin imbunatatirea infrastructurii unitatilor de inva- tamant din municipiul Craiova – Gradinita cu program prelungit Curcubeul Copilăriei</t>
  </si>
  <si>
    <t>tot venituri</t>
  </si>
  <si>
    <t xml:space="preserve">Creşterea accesului la educatie prin imbunatatirea infrastructurii unitatilor de in-vatamant din municipiul Craiova – Gradinita cu program prelungit Căsuța cu povești </t>
  </si>
  <si>
    <t xml:space="preserve">Creşterea accesului la educatie prin imbunatatirea infrastructurii unitatilor de invatamant din municipiul Craiova – Gradinita cu program prelungit Ion Creangă  </t>
  </si>
  <si>
    <t xml:space="preserve">Creşterea accesului la educatie prin imbunatatirea infrastructurii unitatilor de invatamant din municipiul Craiova – Gradinita cu program prelungit Phoenix </t>
  </si>
  <si>
    <t>65.02.04.01</t>
  </si>
  <si>
    <t xml:space="preserve">Îmbunătățirea infrastructurii educaționale din Municipiul Craiova prin constructia/ reabilitarea/modernizarea/extinderea/echiparea Scolii Gimnaziale “Mircea Eliade” </t>
  </si>
  <si>
    <t>48.02.01.03</t>
  </si>
  <si>
    <t>Îmbunătățirea infrastructurii educaționale din Municipiul Craiova prin constructia/ reabilitarea/modernizarea/extinderea/echiparea Scolii Gimnaziale “Gheorghe Titeica” POR</t>
  </si>
  <si>
    <t xml:space="preserve"> </t>
  </si>
  <si>
    <t>65.02.04.02</t>
  </si>
  <si>
    <t>Creșterea calității infrastructurii educaționale la Colegiul Tehnic de Industrie Alimentară Craiova</t>
  </si>
  <si>
    <t>65.02.50</t>
  </si>
  <si>
    <t>Masuri pentru limitArea raSpandirii coronavirusului in uniTatile de Invatamant PrEuNiversiTaR din mUnicipiul Craiova – M.A.S.T.I. Pentru Craiova</t>
  </si>
  <si>
    <t>Cresterea capacitatii de rezilienta a sistemului educational din municipiul Craiova prin dotarea cu mobilier, materiale didactice si echipamente digitale - CRAIOVA EDUCATA prescolar PNRR</t>
  </si>
  <si>
    <t>61.01</t>
  </si>
  <si>
    <t>61.02</t>
  </si>
  <si>
    <t>61.03</t>
  </si>
  <si>
    <t>42.02.89.01</t>
  </si>
  <si>
    <t>42.02.89.02</t>
  </si>
  <si>
    <t>42.02.89.03</t>
  </si>
  <si>
    <t>Cresterea capacitatii de rezilienta a sistemului educational din municipiul Craiova prin dotarea cu mobilier, materiale didactice si echipamente digitale - CRAIOVA EDUCATA scoli PNRR</t>
  </si>
  <si>
    <t>Cresterea capacitatii de rezilienta a sistemului educational din municipiul Craiova prin dotarea cu mobilier, materiale didactice si echipamente digitale - CRAIOVA EDUCATA - licee PNRR</t>
  </si>
  <si>
    <t>65.02.04.03</t>
  </si>
  <si>
    <t>Cresterea capacitatii de rezilienta a sistemului educational din municipiul Craiova prin dotarea cu mobilier, materiale didactice si echipamente digitale - CRAIOVA EDUCATA - tehnologice PNRR</t>
  </si>
  <si>
    <t>Cresterea calitatii EDUcationale la Liceul TEHNOlogic de Transporturi Auto Craiova - EDUTEHNO Craiova POR</t>
  </si>
  <si>
    <t>EduCARE la  Liceul cu Program Sportiv Petrache Trișcu POR</t>
  </si>
  <si>
    <t>,,Renovare energetica moderata a cladirilor publice din Municipiul Craiova – Colegiul National Carol I- corp de cladire C13” (PNRR)</t>
  </si>
  <si>
    <t>Renovare energetica moderata a cladirilor publice din Municipiul Craiova – Scoala Mircea Eliade, corp de cladire C1 (PNRR)</t>
  </si>
  <si>
    <t>42.02.89.02 - Finantare nationala</t>
  </si>
  <si>
    <t>Renovarea energetica moderata a cladirilor publice din Municipiul Craiova - Liceul Matei Basarab - corp de clădire C1 (PNRR)</t>
  </si>
  <si>
    <t>42.02.89.01 - Fonduri din împrumut rambursabil</t>
  </si>
  <si>
    <t>42.02.89.03 - Sume aferente TVA</t>
  </si>
  <si>
    <t>Renovarea energetica moderata a cladirilor publice din Municipiul Craiova - Colegiul economic Gheorghe Chitu - corp de clădire C2 (PNRR)</t>
  </si>
  <si>
    <t>Renovarea energetica moderata a cladirilor publice din Municipiul Craiova - Liceul Voltaire  - corp de clădire C1 (PNRR)</t>
  </si>
  <si>
    <t>Renovarea energetica a cladirilor publice din Municipiul Craiova - Școala Gimnazială Mihai Viteazul - corp de clădire C1 (PNRR)</t>
  </si>
  <si>
    <t>Renovare energetica moderata a cladirilor publice din Municipiul Craiova - Școala Gimnazială Gheorghe Țițeica - corp de clădire C1 (PNRR)</t>
  </si>
  <si>
    <t>Renovare energetica moderată a cladirilor publice din Municipiul Craiova - Școala Gimnazială Decebal - corp de clădire C1 (PNRR)</t>
  </si>
  <si>
    <t>Renovare energetica moderată a cladirilor publice din Municipiul Craiova - Școala Gimnazială Elena Farago - corp clădire C1 (PNRR)</t>
  </si>
  <si>
    <t>Renovare energetica moderată a cladirilor publice din Municipiul Craiova - Școala Gimnazială Nicolae Romanescu str. Caracal, nr. 81 - corp de clădire C1” - corp clădire C1 (PNRR)</t>
  </si>
  <si>
    <t>Renovare energetica moderată a cladirilor publice din Municipiul Craiova - Școala Gimnazială Nicolae Romanescu str. Vantului nr. 3  - corp de clădire C1” - corp clădire C1 (PNRR)</t>
  </si>
  <si>
    <t>Renovare energetica moderată a cladirilor publice din Municipiul Craiova - Școala Gimnazială Al. Macedonski - corp clădire C1 (PNRR)</t>
  </si>
  <si>
    <t>Renovare energetica moderată a cladirilor publice din Municipiul Craiova - Gradinița Floare de Colţ - corp de clădire C1 (PNRR)</t>
  </si>
  <si>
    <t>Renovare energetica moderată a cladirilor publice din Municipiul Craiova - Gradinița cu PP Petrache Poenaru - corp de clădire C1 (PNRR)</t>
  </si>
  <si>
    <t>Renovare energetica moderată a cladirilor publice din Municipiul Craiova - Grădinița Sfanta Lucia - corp de clădire C1 (PNRR)</t>
  </si>
  <si>
    <t>42.02.89.01 - Finantare nationala</t>
  </si>
  <si>
    <t>Cresterea eficientei energetice in cadrul Liceului de Arta Marin Sorescu Craiova -R.E.N.O.V.-ARTa Craiova, corp C1 si corp C2</t>
  </si>
  <si>
    <t>45.01.01.02</t>
  </si>
  <si>
    <t>Total cap. 65.02</t>
  </si>
  <si>
    <t>Cap. 66.02.  (Sănătate)</t>
  </si>
  <si>
    <t>66.02.06.01</t>
  </si>
  <si>
    <t>Cresterea eficientei energetice a cladirilor publice din Municipiul Craiova apartinand sectorului Sanatate, Spitalul Clinic de Boli Infectioase si Pneumoftiziologie Victor Babes Craiova</t>
  </si>
  <si>
    <t>Reabilitare corp C1 – Ambulatoriu Pavilion A, extindere cu lift exterior si amplasare rampa de gunoi (colectare selectiva) la Spitalul Clinic Municipal Filantropia din Municipiul Craiova</t>
  </si>
  <si>
    <t xml:space="preserve"> Cresterea sigurantei pacientilor in cadrul Spitalului Clinic de Neuropsihiatrie Craiova – Reabilitarea si extinderea instalatiei electrice, de fluide medicale, sisteme de detectare, semnalizare si alarmare incendii si sisteme de detectare, semnalizare si alarmare in cazul depasirii concentratiei maxime admise de oxigen</t>
  </si>
  <si>
    <t>Masuri de reducere a riscului de infectii nosocomiale in cadrul Spitalului Clinic de Neuropsihiatrie Craiova (PNRR)</t>
  </si>
  <si>
    <t>Construire imobil cu destinatia de spital in str. Filantropiei, nr.1, in cadrul Spitalului Clinic Municipal Filantropia Craiova POS</t>
  </si>
  <si>
    <t>Extindere corp C4 in cadrul Spitalului Clinic cu un corp P+4E pentru Secția Recuperare Neurologică POS</t>
  </si>
  <si>
    <t>CREsterea eficientei energetice in cadrul SPitAlulul ClInic de NeuRopsihiatrie Craiova, sectia Neuropsihiatrie infantila – R.E.P.A.I.R. NEURO INFANTILA Craiova</t>
  </si>
  <si>
    <t>CREsterea eficientei energetice in cadrul SPitAlulul  ClInic de NeuRopsihiatrie Craiova, sectia Psihiatrie – R.E.P.A.I.R. NEURO Psihiatrie Craiova - Corp C3</t>
  </si>
  <si>
    <t>Masuri de reducere a riscului de infectii nosocomiale in cadrul Spitalului Clinic Municipal Filantropia Craiova  (PNRR)</t>
  </si>
  <si>
    <r>
      <t>Masuri de reducere a riscului de infectii nosocomiale in cadrul Spitalului Clinic de Boli Infectioase si Pneumoftiziologie ~Victor Babes~ Craiova</t>
    </r>
    <r>
      <rPr>
        <b/>
        <sz val="10"/>
        <rFont val="Trebuchet MS"/>
        <family val="2"/>
      </rPr>
      <t xml:space="preserve">  (PNRR)</t>
    </r>
  </si>
  <si>
    <t>Dotarea cabinetelor de asistenta medicala ambulatorie din cadrul Spitalului Clinic Municipal Filantropia Craiova si infiintarea de noi specialitati/cabinete de asistenta medicala ambulatorie (PNRR)</t>
  </si>
  <si>
    <t>Total cap. 66.02</t>
  </si>
  <si>
    <t>Cap. 67.02.  (Cultura, recreere si religie)</t>
  </si>
  <si>
    <t>67.02.03.12</t>
  </si>
  <si>
    <t xml:space="preserve">Conservarea, protejarea, promovarea si dezvoltarea patrimoniului national si cultural - Casa Rusănescu (Casa Casatoriilor) </t>
  </si>
  <si>
    <t>Conservarea si protejarea patrimoniului cultural din Municipiul Craiova prin restaurarea si valorificarea durabila a Scolii Obedeanu - Corp C1</t>
  </si>
  <si>
    <t>Amenajarea de parcuri si gradini in municipiul Craiova - Parcul Nicolae Romanescu</t>
  </si>
  <si>
    <t>42.02.62</t>
  </si>
  <si>
    <t>67.02.50</t>
  </si>
  <si>
    <t>Infiintare Parc Amaradia</t>
  </si>
  <si>
    <t>Modernizarea infrastructurii verzi-albastre din Municipiul Craiova prin infiintarea Parcului Cernele</t>
  </si>
  <si>
    <t>Total cap. 67.02</t>
  </si>
  <si>
    <t>Cap. 70.02.  (Locuinte, servicii si dezvoltare publica)</t>
  </si>
  <si>
    <t>70.02.50</t>
  </si>
  <si>
    <t>Promovarea incluziunii sociale și combaterea sărăciei în comunitățile defavorizate din municipiul Craiova – faza II – Zona Fantâna Popova</t>
  </si>
  <si>
    <t>REGENERAre urbana prin reviTalizarEa zonei 1Mai Craiova R.E.G.E.N.E.R.A.T.E. CRAIOVA - Zona 1 MAI</t>
  </si>
  <si>
    <t>REGENERAre urbana prin reviTalizarEa zonei centrale - Piata Mihai Viteazul Craiova R.E.G.E.N.E.R.A.T.E. CRAIOVA - Zona Piata Mihai Viteazul</t>
  </si>
  <si>
    <t>Document de Planificare Urbana in format diGital pentru Municipiul Craiova - PUG Craiova (PNRR)</t>
  </si>
  <si>
    <t>70.02.03.30</t>
  </si>
  <si>
    <t>Renovare enerGetica a cladirilor REzidENtiale din Municipiul Craiova- GREEN-1 (PNRR)</t>
  </si>
  <si>
    <t>Renovare enerGetica a cladirilor REzidENtiale din Municipiul Craiova- GREEN-2 (PNRR)</t>
  </si>
  <si>
    <t>Renovare enerGetica a cladirilor REzidENtiale din Municipiul Craiova - GREEN-3  (PNRR)</t>
  </si>
  <si>
    <t>Renovare enerGetica a cladirilor REzidENtiale din Municipiul Craiova- GREEN-4 (PNRR)</t>
  </si>
  <si>
    <t>Cresterea Eficientei Energetice in cadrul cladirilor RezidenTiale din Municipiul Craiova - CEERT L4</t>
  </si>
  <si>
    <t>neeligibil conform ctr fin</t>
  </si>
  <si>
    <t>venituri proprii</t>
  </si>
  <si>
    <t xml:space="preserve">Cresterea Eficientei Energetice in cadrul cladirilor RezidenTiale din Municipiul Craiova - CEERT L5 </t>
  </si>
  <si>
    <t>Creșterea eficienței energetice în cadrul clădirilor rezidențiale din Municipiul Craiova - CEERT L4.1</t>
  </si>
  <si>
    <t>Creșterea eficienței energetice în cadrul clădirilor rezidențiale din Municipiul Craiova - CEERT L5.1</t>
  </si>
  <si>
    <t>Total cap. 70.02</t>
  </si>
  <si>
    <t>Cap. 74.02. (Protectia mediului )</t>
  </si>
  <si>
    <t>74.02.05.02</t>
  </si>
  <si>
    <t>Modernizarea sistemelor de gestionare a deseurilor in Municipiul Craiova prin  construirea de insule ecologice digitalizate</t>
  </si>
  <si>
    <t>Total cap. 74.02</t>
  </si>
  <si>
    <t>Cap. 80.02.  (Actiuni generale economice, comerciale si de munca)</t>
  </si>
  <si>
    <t>80.02.01.30</t>
  </si>
  <si>
    <t>Creșterea calității serviciilor pentru cetățeni prin dezvoltarea unui SISTEM INFORMATIC INTEGRAT PENTRU DIGITALIZAREA PROCESELOR POR</t>
  </si>
  <si>
    <t>Total cap. 80.02</t>
  </si>
  <si>
    <t>Cap. 81.02. (Combustibili si energie)</t>
  </si>
  <si>
    <t>81.02.50</t>
  </si>
  <si>
    <t>Instalarea unei noi capacitate de producere a energiei pentru autoconsum din surse solare in municipiul craiova</t>
  </si>
  <si>
    <t>43.02.47</t>
  </si>
  <si>
    <t>Total cap. 81.02</t>
  </si>
  <si>
    <t>Cap. 84.02 (Transporturi)</t>
  </si>
  <si>
    <t>84.02.03.02</t>
  </si>
  <si>
    <t xml:space="preserve">Proiect Integrat de Modernizare a Sistemului de Transport Public  cu Tramvaiul In Municipiul Craiova - MOTRIC T1: Componenta Modernizarea caii de tramvai (in cale proprie) de pe str. Henry Ford in zona industriala Ford si Extinderea sistemului de management al traficului prin integrarea de noi intersectii sema-forizate cu functio-narea in regim adaptiv si sistem de comunicatii (Etapa 1, Faza 3); Componenta Extinderea sistemului de management al traficului prin integra-rea de noi intersectii semaforizate cu functionarea in regim adaptiv si sistem de comunicatii (Etapa 1, Faza 1 + Etapa 1, Faza 2); Componenta Modernizare depou si Modernizarea statiilor de redresare pentru alimentarea electrica a tramvaielor - Faza 1 - Modernizare statii de redresare si echipamente aferente </t>
  </si>
  <si>
    <t>Modernizarea căii de tramvai (în cale proprie) de pe Calea Severinului, în zona industrială Cernele de Sus – Faza 1 si Faza 2</t>
  </si>
  <si>
    <t>Modernizare depou tramvaie in Municipiul Craiova si Extinderea sistemului de management al traficului prin integrarea de noi intersectii semaforizate (POR 2021-2027)</t>
  </si>
  <si>
    <t xml:space="preserve">Achiziţie de mijloace de transport public - tramvaie (25m, 17 buc, Craiova) - parteneriat MDRAP </t>
  </si>
  <si>
    <t xml:space="preserve">Proiect Integrat de Modernizare a Sistemului de Transport Public  cu Autobuzele  In Municipiul Craiova - MOTRIC A: Componenta Extinderea sistemului de management al traficului prin integrarea de noi intersectii semaforizate cu functionarea in regim adaptiv si sistem de comunicatii (Etapa 1, Faza 4) si Reorganizarea circulatiei in zona centrala (Etapa 2, Faza 4), Componenta Innoirea parcului de vehicule de trans-port public urban - Achizitia de autobuze noi - Faza 2 + Faza 3 + Faza 4 (16 buc) </t>
  </si>
  <si>
    <t>Innoirea parcului de vehicule de transport public urban - Achizitia de autobuze noi - Faza 1 (30 buc)</t>
  </si>
  <si>
    <t>Modernizarea sistemului de TRansportpublIC cu autobuzul in zona Metropolitana Craiova - MOTRIC Metropolitan (PNRR – C10)</t>
  </si>
  <si>
    <t>Total cap. 84.02</t>
  </si>
  <si>
    <t>TOTAL GENERAL</t>
  </si>
  <si>
    <t>43.02.47 - Sume aferente investițiilor din Fondul pentru modernizare</t>
  </si>
  <si>
    <t>42.02.69 – Subvenţii de la bugetul de stat către bugetele locale necesare susţinerii derulării proiectelor finanţate din fonduri externe nerambursabile (FEN) postaderare aferente perioadei de programare 2014-2020****)</t>
  </si>
  <si>
    <t>48.02.01.01 - Sume FEN primite in contul platilor efectuate in anul curent</t>
  </si>
  <si>
    <t>48.02.01.02 - Sume FEN primite in contul platilor efectuate in anii anteriori</t>
  </si>
  <si>
    <t>42.02.20 - Subventii de la bugetul de stat catre bugetele locale necesare sustinerii derularii proiectelor finantate din fonduri externe nerambursabile (FEN) postaderare***)</t>
  </si>
  <si>
    <t>45.02.01.01 - Sume  primite in contul platilor efectuate in anul in curs</t>
  </si>
  <si>
    <t>45.02.01.02 - Sume  primite in contul platilor efectuate in anii anteriori</t>
  </si>
  <si>
    <t>Alocări de sume din PNRR aferente componentei împrumuturi:</t>
  </si>
  <si>
    <t>Alocări de sume din PNRR aferente asistenței financiare nerambursabile:</t>
  </si>
  <si>
    <t>42.02.88.01 - Fonduri europene nerambursabile</t>
  </si>
  <si>
    <t>42.02.88.03 - Sume aferente TVA</t>
  </si>
  <si>
    <t>48.02.01.03 - Sume FEN Prefinantari</t>
  </si>
  <si>
    <t>TOTAL</t>
  </si>
  <si>
    <t>TOTAL venituri</t>
  </si>
  <si>
    <t>FD ext</t>
  </si>
  <si>
    <t>Valoare POR nou</t>
  </si>
  <si>
    <t>Etapizate</t>
  </si>
  <si>
    <t xml:space="preserve">- martie 2024 - </t>
  </si>
  <si>
    <t>Influente</t>
  </si>
  <si>
    <t>Total 2024
 conf. buget aprobat prin H.C.L. nr. 44/12.02.2024 
(mii lei)</t>
  </si>
  <si>
    <t>Total 2024 după influențe 
(mii lei)</t>
  </si>
  <si>
    <t>ANEXA nr 15 la HCL 151/28.03.2024</t>
  </si>
  <si>
    <t>PREŞEDINTE DE ŞEDINŢĂ</t>
  </si>
  <si>
    <t>LUCIAN - COSTIN DINDIRICĂ</t>
  </si>
</sst>
</file>

<file path=xl/styles.xml><?xml version="1.0" encoding="utf-8"?>
<styleSheet xmlns="http://schemas.openxmlformats.org/spreadsheetml/2006/main">
  <numFmts count="1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_-* #,##0_-;\-* #,##0_-;_-* &quot;-&quot;_-;_-@_-"/>
    <numFmt numFmtId="173" formatCode="_-* #,##0.00_-;\-* #,##0.00_-;_-* &quot;-&quot;??_-;_-@_-"/>
    <numFmt numFmtId="174" formatCode="#,##0_);\(#,##0\)"/>
  </numFmts>
  <fonts count="57">
    <font>
      <sz val="11"/>
      <color indexed="8"/>
      <name val="Calibri"/>
      <family val="2"/>
    </font>
    <font>
      <sz val="10"/>
      <name val="Arial"/>
      <family val="0"/>
    </font>
    <font>
      <sz val="10"/>
      <name val="Trebuchet MS"/>
      <family val="2"/>
    </font>
    <font>
      <sz val="10"/>
      <color indexed="8"/>
      <name val="Trebuchet MS"/>
      <family val="2"/>
    </font>
    <font>
      <b/>
      <sz val="10"/>
      <name val="Trebuchet MS"/>
      <family val="2"/>
    </font>
    <font>
      <b/>
      <sz val="14"/>
      <name val="Trebuchet MS"/>
      <family val="2"/>
    </font>
    <font>
      <b/>
      <sz val="10"/>
      <name val="Arial"/>
      <family val="2"/>
    </font>
    <font>
      <b/>
      <sz val="10"/>
      <color indexed="9"/>
      <name val="Trebuchet MS"/>
      <family val="2"/>
    </font>
    <font>
      <b/>
      <sz val="10"/>
      <color indexed="8"/>
      <name val="Trebuchet MS"/>
      <family val="2"/>
    </font>
    <font>
      <b/>
      <sz val="10"/>
      <color indexed="8"/>
      <name val="Arial"/>
      <family val="2"/>
    </font>
    <font>
      <sz val="10"/>
      <color indexed="9"/>
      <name val="Trebuchet MS"/>
      <family val="2"/>
    </font>
    <font>
      <b/>
      <sz val="9"/>
      <color indexed="8"/>
      <name val="Tahoma"/>
      <family val="2"/>
    </font>
    <font>
      <sz val="9"/>
      <color indexed="8"/>
      <name val="Tahoma"/>
      <family val="2"/>
    </font>
    <font>
      <i/>
      <sz val="11"/>
      <color indexed="8"/>
      <name val="Calibri"/>
      <family val="2"/>
    </font>
    <font>
      <b/>
      <sz val="11"/>
      <color indexed="8"/>
      <name val="Calibri"/>
      <family val="2"/>
    </font>
    <font>
      <b/>
      <i/>
      <sz val="10"/>
      <name val="Trebuchet MS"/>
      <family val="2"/>
    </font>
    <font>
      <b/>
      <i/>
      <sz val="10"/>
      <color indexed="12"/>
      <name val="Trebuchet MS"/>
      <family val="2"/>
    </font>
    <font>
      <b/>
      <i/>
      <sz val="10"/>
      <color indexed="8"/>
      <name val="Trebuchet MS"/>
      <family val="2"/>
    </font>
    <font>
      <i/>
      <sz val="10"/>
      <color indexed="8"/>
      <name val="Trebuchet MS"/>
      <family val="2"/>
    </font>
    <font>
      <sz val="10"/>
      <color indexed="10"/>
      <name val="Trebuchet MS"/>
      <family val="2"/>
    </font>
    <font>
      <i/>
      <sz val="10"/>
      <name val="Trebuchet MS"/>
      <family val="2"/>
    </font>
    <font>
      <sz val="8"/>
      <name val="Trebuchet MS"/>
      <family val="2"/>
    </font>
    <font>
      <i/>
      <sz val="14"/>
      <name val="Trebuchet MS"/>
      <family val="2"/>
    </font>
    <font>
      <b/>
      <sz val="9"/>
      <name val="Trebuchet MS"/>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indexed="5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0" borderId="2" applyNumberFormat="0" applyFill="0" applyAlignment="0" applyProtection="0"/>
    <xf numFmtId="0" fontId="44" fillId="28" borderId="0" applyNumberFormat="0" applyBorder="0" applyAlignment="0" applyProtection="0"/>
    <xf numFmtId="0" fontId="45" fillId="27" borderId="3" applyNumberFormat="0" applyAlignment="0" applyProtection="0"/>
    <xf numFmtId="0" fontId="46" fillId="29" borderId="1" applyNumberFormat="0" applyAlignment="0" applyProtection="0"/>
    <xf numFmtId="44" fontId="1" fillId="0" borderId="0" applyFill="0" applyBorder="0" applyAlignment="0" applyProtection="0"/>
    <xf numFmtId="42" fontId="1" fillId="0" borderId="0" applyFill="0" applyBorder="0" applyAlignment="0" applyProtection="0"/>
    <xf numFmtId="0" fontId="47" fillId="30" borderId="0" applyNumberFormat="0" applyBorder="0" applyAlignment="0" applyProtection="0"/>
    <xf numFmtId="0" fontId="0" fillId="31" borderId="4" applyNumberFormat="0" applyFont="0" applyAlignment="0" applyProtection="0"/>
    <xf numFmtId="9" fontId="1" fillId="0" borderId="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xf numFmtId="43" fontId="1" fillId="0" borderId="0" applyFill="0" applyBorder="0" applyAlignment="0" applyProtection="0"/>
    <xf numFmtId="41" fontId="1" fillId="0" borderId="0" applyFill="0" applyBorder="0" applyAlignment="0" applyProtection="0"/>
  </cellStyleXfs>
  <cellXfs count="262">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2" fillId="33" borderId="0" xfId="0" applyFont="1" applyFill="1" applyAlignment="1">
      <alignment/>
    </xf>
    <xf numFmtId="0" fontId="3"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horizontal="left" wrapText="1"/>
    </xf>
    <xf numFmtId="0" fontId="5" fillId="33" borderId="0" xfId="0" applyFont="1" applyFill="1" applyBorder="1" applyAlignment="1">
      <alignment horizontal="center" vertical="center" wrapText="1"/>
    </xf>
    <xf numFmtId="0" fontId="2" fillId="0" borderId="0" xfId="0" applyFont="1" applyFill="1" applyAlignment="1">
      <alignment wrapText="1"/>
    </xf>
    <xf numFmtId="49" fontId="4" fillId="0" borderId="0" xfId="0" applyNumberFormat="1" applyFont="1" applyFill="1" applyAlignment="1">
      <alignment horizontal="center"/>
    </xf>
    <xf numFmtId="0" fontId="4" fillId="0" borderId="0" xfId="0" applyFont="1" applyFill="1" applyAlignment="1">
      <alignment horizontal="center"/>
    </xf>
    <xf numFmtId="0" fontId="2" fillId="0" borderId="0" xfId="0" applyFont="1" applyFill="1" applyAlignment="1">
      <alignment vertical="center" wrapText="1"/>
    </xf>
    <xf numFmtId="0" fontId="2" fillId="33" borderId="0" xfId="0" applyFont="1" applyFill="1" applyAlignment="1">
      <alignment vertical="center" wrapText="1"/>
    </xf>
    <xf numFmtId="0" fontId="4" fillId="33" borderId="0" xfId="0" applyFont="1" applyFill="1" applyAlignment="1">
      <alignment horizontal="center"/>
    </xf>
    <xf numFmtId="0" fontId="4" fillId="0" borderId="0" xfId="0" applyFont="1" applyFill="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0" borderId="10" xfId="0" applyFont="1" applyFill="1" applyBorder="1" applyAlignment="1">
      <alignment wrapText="1"/>
    </xf>
    <xf numFmtId="0" fontId="6" fillId="0" borderId="0" xfId="0" applyFont="1" applyFill="1" applyAlignment="1">
      <alignment/>
    </xf>
    <xf numFmtId="0" fontId="4" fillId="0" borderId="10" xfId="0" applyFont="1" applyFill="1" applyBorder="1" applyAlignment="1">
      <alignmen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3" fillId="0" borderId="10" xfId="0" applyFont="1" applyFill="1" applyBorder="1" applyAlignment="1">
      <alignment/>
    </xf>
    <xf numFmtId="49" fontId="4" fillId="0" borderId="10" xfId="0" applyNumberFormat="1" applyFont="1" applyFill="1" applyBorder="1" applyAlignment="1">
      <alignment vertical="center" wrapText="1"/>
    </xf>
    <xf numFmtId="0" fontId="4" fillId="0" borderId="10" xfId="0" applyFont="1" applyFill="1" applyBorder="1" applyAlignment="1">
      <alignment horizontal="left" vertical="center" wrapText="1"/>
    </xf>
    <xf numFmtId="3" fontId="4" fillId="0" borderId="10" xfId="0" applyNumberFormat="1" applyFont="1" applyFill="1" applyBorder="1" applyAlignment="1">
      <alignment horizontal="right" vertical="center" wrapText="1"/>
    </xf>
    <xf numFmtId="3" fontId="4" fillId="33" borderId="10" xfId="0" applyNumberFormat="1" applyFont="1" applyFill="1" applyBorder="1" applyAlignment="1">
      <alignment horizontal="right" vertical="center" wrapText="1"/>
    </xf>
    <xf numFmtId="0" fontId="2" fillId="0" borderId="10" xfId="0" applyFont="1" applyFill="1" applyBorder="1" applyAlignment="1">
      <alignment horizontal="right" vertical="center" wrapText="1"/>
    </xf>
    <xf numFmtId="0" fontId="2" fillId="0" borderId="10" xfId="0" applyFont="1" applyFill="1" applyBorder="1" applyAlignment="1">
      <alignment horizontal="left" wrapText="1"/>
    </xf>
    <xf numFmtId="3" fontId="2" fillId="0" borderId="10" xfId="0" applyNumberFormat="1" applyFont="1" applyFill="1" applyBorder="1" applyAlignment="1">
      <alignment horizontal="right" vertical="center" wrapText="1"/>
    </xf>
    <xf numFmtId="3" fontId="2" fillId="33" borderId="10" xfId="0" applyNumberFormat="1" applyFont="1" applyFill="1" applyBorder="1" applyAlignment="1">
      <alignment horizontal="right" vertical="center" wrapText="1"/>
    </xf>
    <xf numFmtId="3" fontId="2" fillId="0" borderId="10" xfId="0" applyNumberFormat="1" applyFont="1" applyFill="1" applyBorder="1" applyAlignment="1">
      <alignment horizontal="right" vertical="center"/>
    </xf>
    <xf numFmtId="3" fontId="2" fillId="33" borderId="10" xfId="0" applyNumberFormat="1" applyFont="1" applyFill="1" applyBorder="1" applyAlignment="1">
      <alignment horizontal="right" vertical="center"/>
    </xf>
    <xf numFmtId="49" fontId="2" fillId="0" borderId="10" xfId="0" applyNumberFormat="1" applyFont="1" applyFill="1" applyBorder="1" applyAlignment="1">
      <alignment horizontal="right" vertical="center" wrapText="1"/>
    </xf>
    <xf numFmtId="49" fontId="2"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right" vertical="center" wrapText="1"/>
    </xf>
    <xf numFmtId="0" fontId="3" fillId="0" borderId="10" xfId="0" applyFont="1" applyFill="1" applyBorder="1" applyAlignment="1">
      <alignment vertical="center" wrapText="1"/>
    </xf>
    <xf numFmtId="3" fontId="4" fillId="0" borderId="10" xfId="0" applyNumberFormat="1" applyFont="1" applyFill="1" applyBorder="1" applyAlignment="1">
      <alignment vertical="center" wrapText="1"/>
    </xf>
    <xf numFmtId="3" fontId="4" fillId="33" borderId="10" xfId="0" applyNumberFormat="1" applyFont="1" applyFill="1" applyBorder="1" applyAlignment="1">
      <alignment vertical="center" wrapText="1"/>
    </xf>
    <xf numFmtId="0" fontId="2" fillId="0" borderId="10" xfId="0" applyFont="1" applyFill="1" applyBorder="1" applyAlignment="1">
      <alignment horizontal="right" vertical="center" wrapText="1"/>
    </xf>
    <xf numFmtId="0" fontId="2" fillId="0" borderId="11" xfId="0" applyFont="1" applyFill="1" applyBorder="1" applyAlignment="1">
      <alignment vertical="top" wrapText="1"/>
    </xf>
    <xf numFmtId="3" fontId="2" fillId="0" borderId="10" xfId="0" applyNumberFormat="1" applyFont="1" applyFill="1" applyBorder="1" applyAlignment="1">
      <alignment vertical="center"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8" fillId="0" borderId="0" xfId="0" applyFont="1" applyFill="1" applyAlignment="1">
      <alignment/>
    </xf>
    <xf numFmtId="49" fontId="3" fillId="0" borderId="10" xfId="0" applyNumberFormat="1" applyFont="1" applyFill="1" applyBorder="1" applyAlignment="1">
      <alignment horizontal="right" vertical="center" wrapText="1"/>
    </xf>
    <xf numFmtId="0" fontId="8" fillId="0" borderId="10" xfId="0" applyFont="1" applyFill="1" applyBorder="1" applyAlignment="1">
      <alignment vertical="center" wrapText="1"/>
    </xf>
    <xf numFmtId="3" fontId="3" fillId="0" borderId="10" xfId="0" applyNumberFormat="1" applyFont="1" applyFill="1" applyBorder="1" applyAlignment="1">
      <alignment vertical="center" wrapText="1"/>
    </xf>
    <xf numFmtId="0" fontId="9" fillId="0" borderId="0" xfId="0" applyFont="1" applyFill="1" applyAlignment="1">
      <alignment/>
    </xf>
    <xf numFmtId="3" fontId="2" fillId="33" borderId="10" xfId="0" applyNumberFormat="1" applyFont="1" applyFill="1" applyBorder="1" applyAlignment="1">
      <alignment vertical="center" wrapText="1"/>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1" xfId="0" applyFont="1" applyFill="1" applyBorder="1" applyAlignment="1">
      <alignment vertical="top"/>
    </xf>
    <xf numFmtId="0" fontId="2" fillId="0" borderId="12" xfId="0" applyFont="1" applyFill="1" applyBorder="1" applyAlignment="1">
      <alignment vertical="top"/>
    </xf>
    <xf numFmtId="0" fontId="2" fillId="0" borderId="13" xfId="0" applyFont="1" applyFill="1" applyBorder="1" applyAlignment="1">
      <alignment vertical="top"/>
    </xf>
    <xf numFmtId="3" fontId="3" fillId="0" borderId="10" xfId="0" applyNumberFormat="1" applyFont="1" applyFill="1" applyBorder="1" applyAlignment="1">
      <alignment horizontal="right" vertical="center" wrapText="1"/>
    </xf>
    <xf numFmtId="3" fontId="3" fillId="33" borderId="10" xfId="0" applyNumberFormat="1" applyFont="1" applyFill="1" applyBorder="1" applyAlignment="1">
      <alignment horizontal="right" vertical="center" wrapText="1"/>
    </xf>
    <xf numFmtId="3" fontId="3" fillId="0" borderId="10" xfId="0" applyNumberFormat="1" applyFont="1" applyFill="1" applyBorder="1" applyAlignment="1">
      <alignment horizontal="right" vertical="center"/>
    </xf>
    <xf numFmtId="3" fontId="3" fillId="33" borderId="10" xfId="0" applyNumberFormat="1" applyFont="1" applyFill="1" applyBorder="1" applyAlignment="1">
      <alignment horizontal="right" vertical="center"/>
    </xf>
    <xf numFmtId="3" fontId="3" fillId="33" borderId="10" xfId="0" applyNumberFormat="1" applyFont="1" applyFill="1" applyBorder="1" applyAlignment="1">
      <alignment vertical="center" wrapText="1"/>
    </xf>
    <xf numFmtId="0" fontId="2" fillId="0" borderId="10" xfId="0" applyFont="1" applyFill="1" applyBorder="1" applyAlignment="1">
      <alignment horizontal="left" vertical="center" wrapText="1"/>
    </xf>
    <xf numFmtId="3" fontId="3" fillId="0" borderId="10" xfId="0" applyNumberFormat="1" applyFont="1" applyFill="1" applyBorder="1" applyAlignment="1">
      <alignment/>
    </xf>
    <xf numFmtId="3" fontId="3" fillId="33" borderId="10" xfId="0" applyNumberFormat="1" applyFont="1" applyFill="1" applyBorder="1" applyAlignment="1">
      <alignment/>
    </xf>
    <xf numFmtId="3" fontId="0" fillId="0" borderId="10" xfId="0" applyNumberFormat="1" applyFont="1" applyFill="1" applyBorder="1" applyAlignment="1">
      <alignment vertical="center"/>
    </xf>
    <xf numFmtId="3" fontId="0" fillId="33" borderId="10" xfId="0" applyNumberFormat="1" applyFont="1" applyFill="1" applyBorder="1" applyAlignment="1">
      <alignment vertical="center"/>
    </xf>
    <xf numFmtId="3" fontId="4" fillId="0" borderId="10" xfId="0" applyNumberFormat="1" applyFont="1" applyFill="1" applyBorder="1" applyAlignment="1">
      <alignment horizontal="right" vertical="center" wrapText="1"/>
    </xf>
    <xf numFmtId="3" fontId="4" fillId="33" borderId="10" xfId="0"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xf>
    <xf numFmtId="3" fontId="4" fillId="33" borderId="10" xfId="0" applyNumberFormat="1" applyFont="1" applyFill="1" applyBorder="1" applyAlignment="1">
      <alignment horizontal="right" vertical="center"/>
    </xf>
    <xf numFmtId="3" fontId="4" fillId="0" borderId="0" xfId="0" applyNumberFormat="1" applyFont="1" applyFill="1" applyAlignment="1">
      <alignment/>
    </xf>
    <xf numFmtId="3" fontId="4" fillId="0" borderId="10" xfId="0" applyNumberFormat="1" applyFont="1" applyFill="1" applyBorder="1" applyAlignment="1">
      <alignment horizontal="right" vertical="center"/>
    </xf>
    <xf numFmtId="3" fontId="4" fillId="33" borderId="10" xfId="0" applyNumberFormat="1" applyFont="1" applyFill="1" applyBorder="1" applyAlignment="1">
      <alignment horizontal="right" vertical="center"/>
    </xf>
    <xf numFmtId="0" fontId="2" fillId="0" borderId="0" xfId="0" applyFont="1" applyFill="1" applyAlignment="1">
      <alignment vertical="center"/>
    </xf>
    <xf numFmtId="0" fontId="4" fillId="0" borderId="10" xfId="0" applyFont="1" applyFill="1" applyBorder="1" applyAlignment="1">
      <alignment vertical="center" wrapText="1"/>
    </xf>
    <xf numFmtId="0" fontId="2" fillId="0" borderId="0" xfId="0" applyNumberFormat="1" applyFont="1" applyFill="1" applyAlignment="1">
      <alignment vertical="center"/>
    </xf>
    <xf numFmtId="0" fontId="2" fillId="0" borderId="0" xfId="0" applyFont="1" applyFill="1" applyAlignment="1">
      <alignment/>
    </xf>
    <xf numFmtId="0" fontId="2" fillId="0" borderId="11" xfId="0" applyFont="1" applyFill="1" applyBorder="1" applyAlignment="1">
      <alignment vertical="center" wrapText="1"/>
    </xf>
    <xf numFmtId="3" fontId="2" fillId="0" borderId="10" xfId="0" applyNumberFormat="1" applyFont="1" applyFill="1" applyBorder="1" applyAlignment="1">
      <alignment vertical="center" wrapText="1"/>
    </xf>
    <xf numFmtId="3" fontId="2" fillId="33" borderId="10" xfId="0" applyNumberFormat="1" applyFont="1" applyFill="1" applyBorder="1" applyAlignment="1">
      <alignment vertical="center" wrapText="1"/>
    </xf>
    <xf numFmtId="0" fontId="0" fillId="0" borderId="0" xfId="0" applyFill="1" applyAlignment="1">
      <alignment/>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4" fillId="0" borderId="0" xfId="0" applyFont="1" applyFill="1" applyAlignment="1">
      <alignment vertical="center"/>
    </xf>
    <xf numFmtId="3" fontId="8" fillId="0" borderId="10" xfId="0" applyNumberFormat="1" applyFont="1" applyFill="1" applyBorder="1" applyAlignment="1">
      <alignment vertical="center" wrapText="1"/>
    </xf>
    <xf numFmtId="3" fontId="8" fillId="33" borderId="10" xfId="0" applyNumberFormat="1" applyFont="1" applyFill="1" applyBorder="1" applyAlignment="1">
      <alignment vertical="center" wrapText="1"/>
    </xf>
    <xf numFmtId="0" fontId="4" fillId="0" borderId="0" xfId="0" applyFont="1" applyFill="1" applyAlignment="1">
      <alignment/>
    </xf>
    <xf numFmtId="3" fontId="3" fillId="0" borderId="10" xfId="0" applyNumberFormat="1" applyFont="1" applyFill="1" applyBorder="1" applyAlignment="1">
      <alignment vertical="center" wrapText="1"/>
    </xf>
    <xf numFmtId="3" fontId="3" fillId="33" borderId="10" xfId="0" applyNumberFormat="1" applyFont="1" applyFill="1" applyBorder="1" applyAlignment="1">
      <alignment vertical="center" wrapText="1"/>
    </xf>
    <xf numFmtId="0" fontId="3" fillId="0" borderId="0" xfId="0" applyFont="1" applyFill="1" applyAlignment="1">
      <alignment vertical="center"/>
    </xf>
    <xf numFmtId="0" fontId="3" fillId="0" borderId="10" xfId="0" applyFont="1" applyFill="1" applyBorder="1" applyAlignment="1">
      <alignment horizontal="left" vertical="center" wrapText="1"/>
    </xf>
    <xf numFmtId="0" fontId="3" fillId="0" borderId="0" xfId="0" applyFont="1" applyFill="1" applyAlignment="1">
      <alignment/>
    </xf>
    <xf numFmtId="3" fontId="2" fillId="0" borderId="0" xfId="0" applyNumberFormat="1" applyFont="1" applyFill="1" applyAlignment="1">
      <alignment vertical="center"/>
    </xf>
    <xf numFmtId="3" fontId="2" fillId="0" borderId="0" xfId="0" applyNumberFormat="1" applyFont="1" applyFill="1" applyBorder="1" applyAlignment="1">
      <alignment vertical="center"/>
    </xf>
    <xf numFmtId="3" fontId="2" fillId="0" borderId="0" xfId="0" applyNumberFormat="1" applyFont="1" applyFill="1" applyAlignment="1">
      <alignment vertical="center"/>
    </xf>
    <xf numFmtId="3" fontId="4" fillId="0" borderId="0" xfId="0" applyNumberFormat="1" applyFont="1" applyFill="1" applyAlignment="1">
      <alignment vertical="center"/>
    </xf>
    <xf numFmtId="3" fontId="3" fillId="0" borderId="0" xfId="0" applyNumberFormat="1" applyFont="1" applyFill="1" applyAlignment="1">
      <alignment vertical="center"/>
    </xf>
    <xf numFmtId="3" fontId="4" fillId="0" borderId="10" xfId="0" applyNumberFormat="1" applyFont="1" applyFill="1" applyBorder="1" applyAlignment="1">
      <alignment vertical="center" wrapText="1"/>
    </xf>
    <xf numFmtId="3" fontId="4" fillId="33" borderId="10" xfId="0" applyNumberFormat="1" applyFont="1" applyFill="1" applyBorder="1" applyAlignment="1">
      <alignment vertical="center" wrapText="1"/>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13" fillId="0" borderId="14" xfId="0" applyFont="1" applyFill="1" applyBorder="1" applyAlignment="1">
      <alignment horizontal="right" vertical="center" wrapText="1"/>
    </xf>
    <xf numFmtId="0" fontId="2" fillId="0" borderId="10" xfId="0" applyFont="1" applyFill="1" applyBorder="1" applyAlignment="1">
      <alignment horizontal="right" wrapText="1"/>
    </xf>
    <xf numFmtId="0" fontId="4" fillId="0" borderId="10" xfId="0" applyFont="1" applyFill="1" applyBorder="1" applyAlignment="1">
      <alignment horizontal="right" vertical="center" wrapText="1"/>
    </xf>
    <xf numFmtId="0" fontId="14" fillId="0" borderId="14" xfId="0" applyFont="1" applyFill="1" applyBorder="1" applyAlignment="1">
      <alignment horizontal="left" vertical="center" wrapText="1"/>
    </xf>
    <xf numFmtId="3" fontId="8" fillId="0" borderId="10" xfId="0" applyNumberFormat="1" applyFont="1" applyFill="1" applyBorder="1" applyAlignment="1">
      <alignment vertical="center" wrapText="1"/>
    </xf>
    <xf numFmtId="3" fontId="2" fillId="0" borderId="10" xfId="0" applyNumberFormat="1" applyFont="1" applyFill="1" applyBorder="1" applyAlignment="1">
      <alignment horizontal="right" vertical="center" wrapText="1"/>
    </xf>
    <xf numFmtId="3" fontId="2" fillId="33" borderId="10" xfId="0" applyNumberFormat="1" applyFont="1" applyFill="1" applyBorder="1" applyAlignment="1">
      <alignment horizontal="right" vertical="center" wrapText="1"/>
    </xf>
    <xf numFmtId="0" fontId="14" fillId="0" borderId="10" xfId="0" applyFont="1" applyFill="1" applyBorder="1" applyAlignment="1">
      <alignment vertical="center" wrapText="1"/>
    </xf>
    <xf numFmtId="3" fontId="8" fillId="0" borderId="10" xfId="0" applyNumberFormat="1" applyFont="1" applyFill="1" applyBorder="1" applyAlignment="1">
      <alignment horizontal="right" vertical="center" wrapText="1"/>
    </xf>
    <xf numFmtId="3" fontId="8" fillId="0" borderId="10" xfId="0" applyNumberFormat="1" applyFont="1" applyFill="1" applyBorder="1" applyAlignment="1">
      <alignment horizontal="right" vertical="center" wrapText="1"/>
    </xf>
    <xf numFmtId="0" fontId="3" fillId="34" borderId="0" xfId="0" applyFont="1" applyFill="1" applyAlignment="1">
      <alignment vertical="center"/>
    </xf>
    <xf numFmtId="0" fontId="2" fillId="34" borderId="10" xfId="0" applyFont="1" applyFill="1" applyBorder="1" applyAlignment="1">
      <alignment horizontal="right" vertical="center" wrapText="1"/>
    </xf>
    <xf numFmtId="0" fontId="2" fillId="34" borderId="11" xfId="0" applyFont="1" applyFill="1" applyBorder="1" applyAlignment="1">
      <alignment vertical="top" wrapText="1"/>
    </xf>
    <xf numFmtId="3" fontId="2" fillId="34" borderId="10" xfId="0" applyNumberFormat="1" applyFont="1" applyFill="1" applyBorder="1" applyAlignment="1">
      <alignment vertical="center" wrapText="1"/>
    </xf>
    <xf numFmtId="3" fontId="2" fillId="34" borderId="10" xfId="0" applyNumberFormat="1" applyFont="1" applyFill="1" applyBorder="1" applyAlignment="1">
      <alignment vertical="center" wrapText="1"/>
    </xf>
    <xf numFmtId="3" fontId="4" fillId="34" borderId="10" xfId="0" applyNumberFormat="1" applyFont="1" applyFill="1" applyBorder="1" applyAlignment="1">
      <alignment horizontal="right" vertical="center" wrapText="1"/>
    </xf>
    <xf numFmtId="0" fontId="3" fillId="34" borderId="0" xfId="0" applyFont="1" applyFill="1" applyAlignment="1">
      <alignment/>
    </xf>
    <xf numFmtId="3" fontId="4" fillId="34" borderId="10" xfId="0" applyNumberFormat="1" applyFont="1" applyFill="1" applyBorder="1" applyAlignment="1">
      <alignment vertical="center" wrapText="1"/>
    </xf>
    <xf numFmtId="3" fontId="4" fillId="34" borderId="10" xfId="0" applyNumberFormat="1" applyFont="1" applyFill="1" applyBorder="1" applyAlignment="1">
      <alignment vertical="center" wrapText="1"/>
    </xf>
    <xf numFmtId="0" fontId="2" fillId="34" borderId="0" xfId="0" applyFont="1" applyFill="1" applyAlignment="1">
      <alignment vertical="center"/>
    </xf>
    <xf numFmtId="49" fontId="2" fillId="34" borderId="10" xfId="0" applyNumberFormat="1" applyFont="1" applyFill="1" applyBorder="1" applyAlignment="1">
      <alignment horizontal="right" vertical="center" wrapText="1"/>
    </xf>
    <xf numFmtId="0" fontId="2" fillId="34" borderId="10" xfId="0" applyFont="1" applyFill="1" applyBorder="1" applyAlignment="1">
      <alignment horizontal="left" vertical="center" wrapText="1"/>
    </xf>
    <xf numFmtId="3" fontId="2" fillId="34" borderId="10" xfId="0" applyNumberFormat="1" applyFont="1" applyFill="1" applyBorder="1" applyAlignment="1">
      <alignment horizontal="right" vertical="center" wrapText="1"/>
    </xf>
    <xf numFmtId="0" fontId="2" fillId="34" borderId="0" xfId="0" applyFont="1" applyFill="1" applyAlignment="1">
      <alignment/>
    </xf>
    <xf numFmtId="49" fontId="3" fillId="34" borderId="10" xfId="0" applyNumberFormat="1" applyFont="1" applyFill="1" applyBorder="1" applyAlignment="1">
      <alignment horizontal="right" vertical="center" wrapText="1"/>
    </xf>
    <xf numFmtId="3" fontId="2" fillId="0" borderId="10" xfId="0" applyNumberFormat="1" applyFont="1" applyFill="1" applyBorder="1" applyAlignment="1">
      <alignment vertical="center"/>
    </xf>
    <xf numFmtId="3" fontId="2" fillId="33" borderId="10" xfId="0" applyNumberFormat="1" applyFont="1" applyFill="1" applyBorder="1" applyAlignment="1">
      <alignment vertical="center"/>
    </xf>
    <xf numFmtId="3" fontId="4" fillId="0" borderId="10" xfId="0" applyNumberFormat="1" applyFont="1" applyFill="1" applyBorder="1" applyAlignment="1">
      <alignment vertical="center"/>
    </xf>
    <xf numFmtId="3" fontId="4" fillId="33" borderId="10" xfId="0" applyNumberFormat="1" applyFont="1" applyFill="1" applyBorder="1" applyAlignment="1">
      <alignment vertical="center"/>
    </xf>
    <xf numFmtId="3" fontId="3" fillId="0" borderId="10" xfId="0" applyNumberFormat="1" applyFont="1" applyFill="1" applyBorder="1" applyAlignment="1">
      <alignment horizontal="right" wrapText="1"/>
    </xf>
    <xf numFmtId="0" fontId="2" fillId="0" borderId="10" xfId="0" applyFont="1" applyFill="1" applyBorder="1" applyAlignment="1">
      <alignment horizontal="left" vertical="center" wrapText="1"/>
    </xf>
    <xf numFmtId="49" fontId="4" fillId="0" borderId="10" xfId="0" applyNumberFormat="1" applyFont="1" applyFill="1" applyBorder="1" applyAlignment="1">
      <alignment horizontal="right" vertical="center" wrapText="1"/>
    </xf>
    <xf numFmtId="49" fontId="2" fillId="0" borderId="15" xfId="0" applyNumberFormat="1" applyFont="1" applyFill="1" applyBorder="1" applyAlignment="1">
      <alignment horizontal="right" vertical="center" wrapText="1"/>
    </xf>
    <xf numFmtId="0" fontId="2" fillId="0" borderId="14" xfId="0" applyFont="1" applyFill="1" applyBorder="1" applyAlignment="1">
      <alignment horizontal="left" vertical="center" wrapText="1"/>
    </xf>
    <xf numFmtId="3" fontId="2" fillId="0" borderId="10" xfId="0" applyNumberFormat="1" applyFont="1" applyFill="1" applyBorder="1" applyAlignment="1">
      <alignment vertical="center"/>
    </xf>
    <xf numFmtId="3" fontId="2" fillId="33" borderId="10" xfId="0" applyNumberFormat="1" applyFont="1" applyFill="1" applyBorder="1" applyAlignment="1">
      <alignment vertical="center"/>
    </xf>
    <xf numFmtId="3" fontId="0" fillId="0" borderId="10" xfId="0" applyNumberFormat="1" applyFill="1" applyBorder="1" applyAlignment="1">
      <alignment/>
    </xf>
    <xf numFmtId="3" fontId="0" fillId="33" borderId="10" xfId="0" applyNumberFormat="1" applyFill="1" applyBorder="1" applyAlignment="1">
      <alignment/>
    </xf>
    <xf numFmtId="3" fontId="0" fillId="0" borderId="10" xfId="0" applyNumberFormat="1" applyFont="1" applyFill="1" applyBorder="1" applyAlignment="1">
      <alignment/>
    </xf>
    <xf numFmtId="3" fontId="0" fillId="33" borderId="10" xfId="0" applyNumberFormat="1" applyFont="1" applyFill="1" applyBorder="1" applyAlignment="1">
      <alignment/>
    </xf>
    <xf numFmtId="0" fontId="2" fillId="0" borderId="10" xfId="0" applyFont="1" applyFill="1" applyBorder="1" applyAlignment="1">
      <alignment vertical="center" wrapText="1"/>
    </xf>
    <xf numFmtId="0" fontId="15" fillId="0" borderId="10" xfId="0" applyFont="1" applyFill="1" applyBorder="1" applyAlignment="1">
      <alignment horizontal="right" vertical="center"/>
    </xf>
    <xf numFmtId="3" fontId="15" fillId="0" borderId="10" xfId="0" applyNumberFormat="1" applyFont="1" applyFill="1" applyBorder="1" applyAlignment="1">
      <alignment horizontal="right" vertical="center"/>
    </xf>
    <xf numFmtId="0" fontId="15" fillId="0" borderId="10" xfId="0" applyFont="1" applyFill="1" applyBorder="1" applyAlignment="1">
      <alignment horizontal="center" vertical="center"/>
    </xf>
    <xf numFmtId="0" fontId="2" fillId="0" borderId="10" xfId="0" applyFont="1" applyFill="1" applyBorder="1" applyAlignment="1">
      <alignment/>
    </xf>
    <xf numFmtId="49" fontId="15" fillId="0" borderId="10" xfId="0" applyNumberFormat="1" applyFont="1" applyFill="1" applyBorder="1" applyAlignment="1">
      <alignment horizontal="right" vertical="center" wrapText="1"/>
    </xf>
    <xf numFmtId="3" fontId="16" fillId="0" borderId="10" xfId="0" applyNumberFormat="1" applyFont="1" applyFill="1" applyBorder="1" applyAlignment="1">
      <alignment vertical="center"/>
    </xf>
    <xf numFmtId="3" fontId="17" fillId="0" borderId="10" xfId="0" applyNumberFormat="1" applyFont="1" applyFill="1" applyBorder="1" applyAlignment="1">
      <alignment vertical="center"/>
    </xf>
    <xf numFmtId="3" fontId="15" fillId="0" borderId="10" xfId="0" applyNumberFormat="1" applyFont="1" applyFill="1" applyBorder="1" applyAlignment="1">
      <alignment vertical="center"/>
    </xf>
    <xf numFmtId="49" fontId="15" fillId="0" borderId="10" xfId="0" applyNumberFormat="1" applyFont="1" applyFill="1" applyBorder="1" applyAlignment="1">
      <alignment horizontal="left" vertical="center" wrapText="1"/>
    </xf>
    <xf numFmtId="3" fontId="17" fillId="33" borderId="10" xfId="0" applyNumberFormat="1" applyFont="1" applyFill="1" applyBorder="1" applyAlignment="1">
      <alignment vertical="center"/>
    </xf>
    <xf numFmtId="3" fontId="18" fillId="0" borderId="10" xfId="0" applyNumberFormat="1" applyFont="1" applyFill="1" applyBorder="1" applyAlignment="1">
      <alignment vertical="center"/>
    </xf>
    <xf numFmtId="3" fontId="18" fillId="33" borderId="10" xfId="0" applyNumberFormat="1" applyFont="1" applyFill="1" applyBorder="1" applyAlignment="1">
      <alignment vertical="center"/>
    </xf>
    <xf numFmtId="0" fontId="20" fillId="0" borderId="14" xfId="0" applyFont="1" applyFill="1" applyBorder="1" applyAlignment="1">
      <alignment horizontal="right" vertical="center" wrapText="1"/>
    </xf>
    <xf numFmtId="49" fontId="15" fillId="0" borderId="10" xfId="0" applyNumberFormat="1" applyFont="1" applyFill="1" applyBorder="1" applyAlignment="1">
      <alignment horizontal="right" vertical="center"/>
    </xf>
    <xf numFmtId="3" fontId="16" fillId="33" borderId="10" xfId="0" applyNumberFormat="1" applyFont="1" applyFill="1" applyBorder="1" applyAlignment="1">
      <alignment vertical="center"/>
    </xf>
    <xf numFmtId="0" fontId="2" fillId="0" borderId="10" xfId="0" applyFont="1" applyFill="1" applyBorder="1" applyAlignment="1">
      <alignment/>
    </xf>
    <xf numFmtId="0" fontId="4" fillId="0" borderId="10" xfId="0" applyFont="1" applyFill="1" applyBorder="1" applyAlignment="1">
      <alignment horizontal="center"/>
    </xf>
    <xf numFmtId="3" fontId="17" fillId="0" borderId="10" xfId="0" applyNumberFormat="1" applyFont="1" applyFill="1" applyBorder="1" applyAlignment="1">
      <alignment horizontal="right"/>
    </xf>
    <xf numFmtId="3" fontId="17" fillId="33" borderId="10" xfId="0" applyNumberFormat="1" applyFont="1" applyFill="1" applyBorder="1" applyAlignment="1">
      <alignment horizontal="right"/>
    </xf>
    <xf numFmtId="0" fontId="10" fillId="0" borderId="0" xfId="0" applyFont="1" applyFill="1" applyAlignment="1">
      <alignment/>
    </xf>
    <xf numFmtId="3" fontId="2" fillId="0" borderId="0" xfId="0" applyNumberFormat="1" applyFont="1" applyFill="1" applyAlignment="1">
      <alignment/>
    </xf>
    <xf numFmtId="0" fontId="2" fillId="0" borderId="0" xfId="0" applyFont="1" applyFill="1" applyBorder="1" applyAlignment="1">
      <alignment/>
    </xf>
    <xf numFmtId="0" fontId="4" fillId="0" borderId="0" xfId="0" applyFont="1" applyFill="1" applyBorder="1" applyAlignment="1">
      <alignment horizontal="center"/>
    </xf>
    <xf numFmtId="3" fontId="17" fillId="0" borderId="0" xfId="0" applyNumberFormat="1" applyFont="1" applyFill="1" applyBorder="1" applyAlignment="1">
      <alignment horizontal="right"/>
    </xf>
    <xf numFmtId="3" fontId="17" fillId="33" borderId="0" xfId="0" applyNumberFormat="1" applyFont="1" applyFill="1" applyBorder="1" applyAlignment="1">
      <alignment horizontal="right"/>
    </xf>
    <xf numFmtId="0" fontId="4" fillId="0" borderId="16" xfId="0" applyFont="1" applyFill="1" applyBorder="1" applyAlignment="1">
      <alignment horizontal="right"/>
    </xf>
    <xf numFmtId="3" fontId="17" fillId="0" borderId="17" xfId="0" applyNumberFormat="1" applyFont="1" applyFill="1" applyBorder="1" applyAlignment="1">
      <alignment horizontal="right"/>
    </xf>
    <xf numFmtId="3" fontId="17" fillId="33" borderId="17" xfId="0" applyNumberFormat="1" applyFont="1" applyFill="1" applyBorder="1" applyAlignment="1">
      <alignment horizontal="right"/>
    </xf>
    <xf numFmtId="3" fontId="17" fillId="0" borderId="18" xfId="0" applyNumberFormat="1" applyFont="1" applyFill="1" applyBorder="1" applyAlignment="1">
      <alignment horizontal="right"/>
    </xf>
    <xf numFmtId="0" fontId="4" fillId="0" borderId="19" xfId="0" applyFont="1" applyFill="1" applyBorder="1" applyAlignment="1">
      <alignment horizontal="right"/>
    </xf>
    <xf numFmtId="3" fontId="17" fillId="0" borderId="20" xfId="0" applyNumberFormat="1" applyFont="1" applyFill="1" applyBorder="1" applyAlignment="1">
      <alignment horizontal="right"/>
    </xf>
    <xf numFmtId="0" fontId="4" fillId="0" borderId="21" xfId="0" applyFont="1" applyFill="1" applyBorder="1" applyAlignment="1">
      <alignment horizontal="right"/>
    </xf>
    <xf numFmtId="3" fontId="17" fillId="0" borderId="22" xfId="0" applyNumberFormat="1" applyFont="1" applyFill="1" applyBorder="1" applyAlignment="1">
      <alignment horizontal="right"/>
    </xf>
    <xf numFmtId="3" fontId="17" fillId="33" borderId="22" xfId="0" applyNumberFormat="1" applyFont="1" applyFill="1" applyBorder="1" applyAlignment="1">
      <alignment horizontal="right"/>
    </xf>
    <xf numFmtId="3" fontId="17" fillId="0" borderId="23" xfId="0" applyNumberFormat="1" applyFont="1" applyFill="1" applyBorder="1" applyAlignment="1">
      <alignment horizontal="right"/>
    </xf>
    <xf numFmtId="0" fontId="4" fillId="0" borderId="0" xfId="0" applyFont="1" applyFill="1" applyBorder="1" applyAlignment="1">
      <alignment horizontal="right"/>
    </xf>
    <xf numFmtId="0" fontId="4" fillId="0" borderId="16" xfId="0" applyFont="1" applyFill="1" applyBorder="1" applyAlignment="1">
      <alignment horizontal="center"/>
    </xf>
    <xf numFmtId="0" fontId="6" fillId="0" borderId="0" xfId="0" applyFont="1" applyFill="1" applyBorder="1" applyAlignment="1">
      <alignment horizontal="center"/>
    </xf>
    <xf numFmtId="0" fontId="6" fillId="33" borderId="0" xfId="0" applyFont="1" applyFill="1" applyBorder="1" applyAlignment="1">
      <alignment horizontal="center"/>
    </xf>
    <xf numFmtId="3" fontId="3" fillId="0" borderId="0" xfId="0" applyNumberFormat="1" applyFont="1" applyFill="1" applyAlignment="1">
      <alignment/>
    </xf>
    <xf numFmtId="0" fontId="2" fillId="0" borderId="0" xfId="0" applyFont="1" applyFill="1" applyBorder="1" applyAlignment="1">
      <alignment horizontal="center" vertical="center"/>
    </xf>
    <xf numFmtId="0" fontId="2" fillId="33" borderId="0" xfId="0" applyFont="1" applyFill="1" applyAlignment="1">
      <alignment horizontal="center"/>
    </xf>
    <xf numFmtId="0" fontId="4" fillId="0" borderId="0" xfId="0" applyFont="1" applyFill="1" applyAlignment="1">
      <alignment horizontal="right"/>
    </xf>
    <xf numFmtId="3" fontId="4" fillId="0" borderId="0" xfId="0" applyNumberFormat="1" applyFont="1" applyFill="1" applyAlignment="1">
      <alignment/>
    </xf>
    <xf numFmtId="3" fontId="2" fillId="0" borderId="0" xfId="0" applyNumberFormat="1" applyFont="1" applyFill="1" applyAlignment="1">
      <alignment horizontal="right"/>
    </xf>
    <xf numFmtId="3" fontId="4" fillId="0" borderId="0" xfId="0" applyNumberFormat="1" applyFont="1" applyFill="1" applyAlignment="1">
      <alignment horizontal="center"/>
    </xf>
    <xf numFmtId="3" fontId="4"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right" wrapText="1"/>
    </xf>
    <xf numFmtId="3" fontId="6" fillId="0" borderId="0" xfId="0" applyNumberFormat="1" applyFont="1" applyFill="1" applyBorder="1" applyAlignment="1">
      <alignment horizontal="center"/>
    </xf>
    <xf numFmtId="3" fontId="2" fillId="0" borderId="0" xfId="0" applyNumberFormat="1" applyFont="1" applyFill="1" applyAlignment="1">
      <alignment vertical="center" wrapText="1"/>
    </xf>
    <xf numFmtId="3" fontId="2" fillId="0" borderId="1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0" fontId="4" fillId="0" borderId="0" xfId="0" applyFont="1" applyFill="1" applyAlignment="1">
      <alignment vertical="center"/>
    </xf>
    <xf numFmtId="0" fontId="23" fillId="0" borderId="10" xfId="0" applyFont="1" applyFill="1" applyBorder="1" applyAlignment="1">
      <alignment horizontal="center" vertical="center" wrapText="1"/>
    </xf>
    <xf numFmtId="0" fontId="7" fillId="0" borderId="10" xfId="0" applyFont="1" applyFill="1" applyBorder="1" applyAlignment="1">
      <alignment/>
    </xf>
    <xf numFmtId="0" fontId="8" fillId="0" borderId="10" xfId="0" applyFont="1" applyFill="1" applyBorder="1" applyAlignment="1">
      <alignment/>
    </xf>
    <xf numFmtId="3" fontId="4" fillId="0" borderId="10" xfId="0" applyNumberFormat="1" applyFont="1" applyFill="1" applyBorder="1" applyAlignment="1">
      <alignment/>
    </xf>
    <xf numFmtId="0" fontId="2" fillId="0" borderId="10" xfId="0" applyNumberFormat="1"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vertical="center"/>
    </xf>
    <xf numFmtId="0" fontId="10" fillId="0" borderId="10" xfId="0" applyFont="1" applyFill="1" applyBorder="1" applyAlignment="1">
      <alignment vertical="center"/>
    </xf>
    <xf numFmtId="0" fontId="7" fillId="0" borderId="10" xfId="0" applyFont="1" applyFill="1" applyBorder="1" applyAlignment="1">
      <alignment vertical="center"/>
    </xf>
    <xf numFmtId="0" fontId="3" fillId="0" borderId="10" xfId="0" applyFont="1" applyFill="1" applyBorder="1" applyAlignment="1">
      <alignment vertical="center"/>
    </xf>
    <xf numFmtId="3" fontId="10" fillId="0" borderId="10" xfId="0" applyNumberFormat="1" applyFont="1" applyFill="1" applyBorder="1" applyAlignment="1">
      <alignment vertical="center"/>
    </xf>
    <xf numFmtId="3" fontId="7" fillId="0" borderId="10" xfId="0" applyNumberFormat="1" applyFont="1" applyFill="1" applyBorder="1" applyAlignment="1">
      <alignment vertical="center"/>
    </xf>
    <xf numFmtId="3" fontId="3" fillId="0" borderId="10" xfId="0" applyNumberFormat="1" applyFont="1" applyFill="1" applyBorder="1" applyAlignment="1">
      <alignment vertical="center"/>
    </xf>
    <xf numFmtId="0" fontId="3" fillId="0" borderId="10" xfId="0" applyFont="1" applyFill="1" applyBorder="1" applyAlignment="1">
      <alignment vertical="center"/>
    </xf>
    <xf numFmtId="0" fontId="3" fillId="34" borderId="10" xfId="0" applyFont="1" applyFill="1" applyBorder="1" applyAlignment="1">
      <alignment vertical="center"/>
    </xf>
    <xf numFmtId="0" fontId="2" fillId="34" borderId="10" xfId="0" applyFont="1" applyFill="1" applyBorder="1" applyAlignment="1">
      <alignment vertical="center"/>
    </xf>
    <xf numFmtId="0" fontId="3" fillId="0" borderId="10" xfId="0" applyFont="1" applyFill="1" applyBorder="1" applyAlignment="1">
      <alignment horizontal="right" vertical="center"/>
    </xf>
    <xf numFmtId="3" fontId="19" fillId="0" borderId="10" xfId="0" applyNumberFormat="1" applyFont="1" applyFill="1" applyBorder="1" applyAlignment="1">
      <alignment vertical="center"/>
    </xf>
    <xf numFmtId="0" fontId="10" fillId="0" borderId="10" xfId="0" applyFont="1" applyFill="1" applyBorder="1" applyAlignment="1">
      <alignment/>
    </xf>
    <xf numFmtId="0" fontId="4" fillId="0" borderId="10" xfId="0" applyFont="1" applyFill="1" applyBorder="1" applyAlignment="1">
      <alignment/>
    </xf>
    <xf numFmtId="0" fontId="4" fillId="0" borderId="10" xfId="0" applyFont="1" applyFill="1" applyBorder="1" applyAlignment="1">
      <alignment vertical="center"/>
    </xf>
    <xf numFmtId="0" fontId="3" fillId="34" borderId="10" xfId="0" applyFont="1" applyFill="1" applyBorder="1" applyAlignment="1">
      <alignment vertical="center"/>
    </xf>
    <xf numFmtId="0" fontId="4" fillId="0" borderId="10" xfId="0" applyFont="1" applyFill="1" applyBorder="1" applyAlignment="1">
      <alignment vertical="center"/>
    </xf>
    <xf numFmtId="3" fontId="4" fillId="0" borderId="10" xfId="0" applyNumberFormat="1" applyFont="1" applyFill="1" applyBorder="1" applyAlignment="1">
      <alignment vertical="center"/>
    </xf>
    <xf numFmtId="0" fontId="2" fillId="0" borderId="0" xfId="0" applyFont="1" applyFill="1" applyBorder="1" applyAlignment="1">
      <alignment horizontal="right"/>
    </xf>
    <xf numFmtId="0" fontId="2" fillId="0" borderId="0" xfId="0" applyFont="1" applyFill="1" applyBorder="1" applyAlignment="1">
      <alignment/>
    </xf>
    <xf numFmtId="3" fontId="2" fillId="0" borderId="0" xfId="0" applyNumberFormat="1" applyFont="1" applyFill="1" applyAlignment="1">
      <alignment horizontal="center" vertical="center"/>
    </xf>
    <xf numFmtId="3" fontId="3" fillId="0" borderId="10" xfId="0" applyNumberFormat="1" applyFont="1" applyFill="1" applyBorder="1" applyAlignment="1">
      <alignment vertical="center"/>
    </xf>
    <xf numFmtId="0" fontId="2" fillId="0" borderId="0" xfId="0" applyFont="1" applyFill="1" applyAlignment="1">
      <alignment vertical="center"/>
    </xf>
    <xf numFmtId="0" fontId="8" fillId="0" borderId="10" xfId="0" applyFont="1" applyFill="1" applyBorder="1" applyAlignment="1">
      <alignment vertical="center"/>
    </xf>
    <xf numFmtId="0" fontId="8" fillId="0" borderId="10" xfId="0" applyFont="1" applyFill="1" applyBorder="1" applyAlignment="1">
      <alignment vertical="center"/>
    </xf>
    <xf numFmtId="0" fontId="6" fillId="0" borderId="0" xfId="0" applyFont="1" applyFill="1" applyBorder="1" applyAlignment="1">
      <alignment horizontal="center"/>
    </xf>
    <xf numFmtId="3" fontId="2" fillId="0" borderId="0" xfId="0" applyNumberFormat="1" applyFont="1" applyFill="1" applyAlignment="1">
      <alignment horizontal="center"/>
    </xf>
    <xf numFmtId="3" fontId="2" fillId="0" borderId="0" xfId="0" applyNumberFormat="1" applyFont="1" applyFill="1" applyBorder="1" applyAlignment="1">
      <alignment horizontal="center" vertical="center" wrapText="1"/>
    </xf>
    <xf numFmtId="0" fontId="21" fillId="0" borderId="0" xfId="0" applyFont="1" applyFill="1" applyBorder="1" applyAlignment="1">
      <alignment horizontal="right"/>
    </xf>
    <xf numFmtId="0" fontId="21" fillId="0" borderId="0" xfId="0" applyFont="1" applyFill="1" applyBorder="1" applyAlignment="1">
      <alignment horizontal="center"/>
    </xf>
    <xf numFmtId="3" fontId="2" fillId="0" borderId="10" xfId="0" applyNumberFormat="1" applyFont="1" applyFill="1" applyBorder="1" applyAlignment="1">
      <alignment vertical="center"/>
    </xf>
    <xf numFmtId="3" fontId="2" fillId="0" borderId="0" xfId="0" applyNumberFormat="1" applyFont="1" applyFill="1" applyBorder="1" applyAlignment="1">
      <alignment vertical="center"/>
    </xf>
    <xf numFmtId="0" fontId="4" fillId="0" borderId="10" xfId="0" applyFont="1" applyFill="1" applyBorder="1" applyAlignment="1">
      <alignment horizontal="right" vertical="center" wrapText="1"/>
    </xf>
    <xf numFmtId="3" fontId="2" fillId="0" borderId="10" xfId="0" applyNumberFormat="1"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Border="1" applyAlignment="1">
      <alignment vertical="center"/>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horizontal="right" vertical="center" wrapText="1"/>
    </xf>
    <xf numFmtId="49" fontId="8" fillId="0" borderId="10" xfId="0" applyNumberFormat="1" applyFont="1" applyFill="1" applyBorder="1" applyAlignment="1">
      <alignment horizontal="left" vertical="center" wrapText="1"/>
    </xf>
    <xf numFmtId="0" fontId="4" fillId="0" borderId="10" xfId="0" applyFont="1" applyFill="1" applyBorder="1" applyAlignment="1">
      <alignment vertical="center" wrapText="1"/>
    </xf>
    <xf numFmtId="49" fontId="4" fillId="0" borderId="10" xfId="0" applyNumberFormat="1" applyFont="1" applyFill="1" applyBorder="1" applyAlignment="1">
      <alignment vertical="center" wrapText="1"/>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right" vertical="center" wrapText="1"/>
    </xf>
    <xf numFmtId="0" fontId="4" fillId="0" borderId="10" xfId="0" applyFont="1" applyFill="1" applyBorder="1" applyAlignment="1">
      <alignment vertical="center" wrapText="1"/>
    </xf>
    <xf numFmtId="0" fontId="2" fillId="0" borderId="0" xfId="0" applyFont="1" applyFill="1" applyBorder="1" applyAlignment="1">
      <alignment horizontal="center"/>
    </xf>
    <xf numFmtId="0" fontId="4" fillId="0" borderId="0" xfId="0" applyFont="1" applyFill="1" applyBorder="1" applyAlignment="1">
      <alignment wrapText="1"/>
    </xf>
    <xf numFmtId="0" fontId="4" fillId="0" borderId="0" xfId="0" applyFont="1" applyFill="1" applyBorder="1" applyAlignment="1">
      <alignment horizontal="left" wrapText="1"/>
    </xf>
    <xf numFmtId="0" fontId="5" fillId="0" borderId="0" xfId="0" applyFont="1" applyFill="1" applyBorder="1" applyAlignment="1">
      <alignment horizontal="center" vertical="center" wrapText="1"/>
    </xf>
    <xf numFmtId="3" fontId="2" fillId="0" borderId="0" xfId="0" applyNumberFormat="1" applyFont="1" applyFill="1" applyAlignment="1">
      <alignment horizontal="left"/>
    </xf>
    <xf numFmtId="0" fontId="2" fillId="0" borderId="0" xfId="0" applyFont="1" applyFill="1" applyAlignment="1">
      <alignment horizontal="left"/>
    </xf>
    <xf numFmtId="0" fontId="2" fillId="33" borderId="0" xfId="0" applyFont="1" applyFill="1" applyAlignment="1">
      <alignment horizontal="left"/>
    </xf>
    <xf numFmtId="0" fontId="2" fillId="0" borderId="0" xfId="0" applyFont="1"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66"/>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787"/>
  <sheetViews>
    <sheetView tabSelected="1" view="pageBreakPreview" zoomScaleSheetLayoutView="100" workbookViewId="0" topLeftCell="A1">
      <selection activeCell="D9" sqref="D9"/>
    </sheetView>
  </sheetViews>
  <sheetFormatPr defaultColWidth="9.140625" defaultRowHeight="15"/>
  <cols>
    <col min="1" max="1" width="5.28125" style="1" customWidth="1"/>
    <col min="2" max="2" width="13.140625" style="2" customWidth="1"/>
    <col min="3" max="3" width="75.00390625" style="2" customWidth="1"/>
    <col min="4" max="4" width="21.00390625" style="166" customWidth="1"/>
    <col min="5" max="5" width="9.140625" style="2" hidden="1" customWidth="1"/>
    <col min="6" max="6" width="9.140625" style="3" hidden="1" customWidth="1"/>
    <col min="7" max="7" width="11.57421875" style="166" hidden="1" customWidth="1"/>
    <col min="8" max="8" width="9.140625" style="2" hidden="1" customWidth="1"/>
    <col min="9" max="9" width="6.7109375" style="3" hidden="1" customWidth="1"/>
    <col min="10" max="10" width="12.140625" style="166" hidden="1" customWidth="1"/>
    <col min="11" max="11" width="9.140625" style="2" hidden="1" customWidth="1"/>
    <col min="12" max="12" width="9.140625" style="3" hidden="1" customWidth="1"/>
    <col min="13" max="13" width="11.00390625" style="166" hidden="1" customWidth="1"/>
    <col min="14" max="14" width="9.140625" style="2" hidden="1" customWidth="1"/>
    <col min="15" max="15" width="9.140625" style="3" hidden="1" customWidth="1"/>
    <col min="16" max="16" width="11.00390625" style="166" hidden="1" customWidth="1"/>
    <col min="17" max="17" width="2.140625" style="4" hidden="1" customWidth="1"/>
    <col min="18" max="18" width="0.13671875" style="2" hidden="1" customWidth="1"/>
    <col min="19" max="19" width="10.28125" style="2" hidden="1" customWidth="1"/>
    <col min="20" max="20" width="16.00390625" style="2" hidden="1" customWidth="1"/>
    <col min="21" max="21" width="10.28125" style="2" hidden="1" customWidth="1"/>
    <col min="22" max="22" width="12.8515625" style="2" hidden="1" customWidth="1"/>
    <col min="23" max="25" width="9.00390625" style="2" hidden="1" customWidth="1"/>
    <col min="26" max="26" width="12.00390625" style="231" customWidth="1"/>
    <col min="27" max="27" width="11.421875" style="2" customWidth="1"/>
    <col min="28" max="250" width="9.00390625" style="2" customWidth="1"/>
    <col min="251" max="16384" width="9.140625" style="1" customWidth="1"/>
  </cols>
  <sheetData>
    <row r="1" spans="2:256" ht="18" customHeight="1">
      <c r="B1" s="5" t="s">
        <v>0</v>
      </c>
      <c r="C1" s="5"/>
      <c r="D1" s="5"/>
      <c r="N1" s="254"/>
      <c r="O1" s="254"/>
      <c r="P1" s="254"/>
      <c r="Q1" s="2"/>
      <c r="IM1" s="1"/>
      <c r="IN1" s="1"/>
      <c r="IO1" s="1"/>
      <c r="IP1" s="1"/>
      <c r="IQ1"/>
      <c r="IR1"/>
      <c r="IS1"/>
      <c r="IT1"/>
      <c r="IU1"/>
      <c r="IV1"/>
    </row>
    <row r="2" spans="2:256" ht="15" customHeight="1">
      <c r="B2" s="255" t="s">
        <v>1</v>
      </c>
      <c r="C2" s="255"/>
      <c r="D2" s="258" t="s">
        <v>186</v>
      </c>
      <c r="E2" s="259"/>
      <c r="F2" s="260"/>
      <c r="G2" s="258"/>
      <c r="H2" s="259"/>
      <c r="I2" s="260"/>
      <c r="J2" s="258"/>
      <c r="K2" s="259"/>
      <c r="L2" s="260"/>
      <c r="M2" s="258"/>
      <c r="N2" s="259"/>
      <c r="O2" s="260"/>
      <c r="P2" s="258"/>
      <c r="Q2" s="259"/>
      <c r="R2" s="259"/>
      <c r="S2" s="259"/>
      <c r="T2" s="259"/>
      <c r="U2" s="259"/>
      <c r="V2" s="259"/>
      <c r="W2" s="259"/>
      <c r="X2" s="259"/>
      <c r="Y2" s="259"/>
      <c r="Z2" s="261"/>
      <c r="AA2" s="259"/>
      <c r="IM2" s="1"/>
      <c r="IN2" s="1"/>
      <c r="IO2" s="1"/>
      <c r="IP2" s="1"/>
      <c r="IQ2"/>
      <c r="IR2"/>
      <c r="IS2"/>
      <c r="IT2"/>
      <c r="IU2"/>
      <c r="IV2"/>
    </row>
    <row r="3" spans="2:256" ht="15.75" customHeight="1">
      <c r="B3" s="255" t="s">
        <v>2</v>
      </c>
      <c r="C3" s="255"/>
      <c r="D3" s="255"/>
      <c r="Q3" s="2"/>
      <c r="IM3" s="1"/>
      <c r="IN3" s="1"/>
      <c r="IO3" s="1"/>
      <c r="IP3" s="1"/>
      <c r="IQ3"/>
      <c r="IR3"/>
      <c r="IS3"/>
      <c r="IT3"/>
      <c r="IU3"/>
      <c r="IV3"/>
    </row>
    <row r="4" spans="2:256" ht="15.75" customHeight="1">
      <c r="B4" s="256"/>
      <c r="C4" s="256"/>
      <c r="D4" s="190"/>
      <c r="Q4" s="2"/>
      <c r="IM4" s="1"/>
      <c r="IN4" s="1"/>
      <c r="IO4" s="1"/>
      <c r="IP4" s="1"/>
      <c r="IQ4"/>
      <c r="IR4"/>
      <c r="IS4"/>
      <c r="IT4"/>
      <c r="IU4"/>
      <c r="IV4"/>
    </row>
    <row r="5" spans="2:256" ht="11.25" customHeight="1">
      <c r="B5" s="6"/>
      <c r="C5" s="6"/>
      <c r="D5" s="190"/>
      <c r="Q5" s="2"/>
      <c r="IM5" s="1"/>
      <c r="IN5" s="1"/>
      <c r="IO5" s="1"/>
      <c r="IP5" s="1"/>
      <c r="IQ5"/>
      <c r="IR5"/>
      <c r="IS5"/>
      <c r="IT5"/>
      <c r="IU5"/>
      <c r="IV5"/>
    </row>
    <row r="6" spans="2:27" ht="38.25" customHeight="1">
      <c r="B6" s="257" t="s">
        <v>3</v>
      </c>
      <c r="C6" s="257"/>
      <c r="D6" s="257"/>
      <c r="E6" s="257"/>
      <c r="F6" s="257"/>
      <c r="G6" s="257"/>
      <c r="H6" s="257"/>
      <c r="I6" s="257"/>
      <c r="J6" s="257"/>
      <c r="K6" s="257"/>
      <c r="L6" s="257"/>
      <c r="M6" s="257"/>
      <c r="N6" s="257"/>
      <c r="O6" s="257"/>
      <c r="P6" s="257"/>
      <c r="Q6" s="257"/>
      <c r="R6" s="257"/>
      <c r="S6" s="257"/>
      <c r="T6" s="257"/>
      <c r="U6" s="257"/>
      <c r="V6" s="257"/>
      <c r="W6" s="257"/>
      <c r="X6" s="257"/>
      <c r="Y6" s="257"/>
      <c r="Z6" s="257"/>
      <c r="AA6" s="257"/>
    </row>
    <row r="7" spans="2:16" ht="38.25" customHeight="1">
      <c r="B7" s="199"/>
      <c r="C7" s="200" t="s">
        <v>182</v>
      </c>
      <c r="D7" s="199"/>
      <c r="E7" s="198"/>
      <c r="F7" s="198"/>
      <c r="G7" s="198"/>
      <c r="H7" s="198"/>
      <c r="I7" s="198"/>
      <c r="J7" s="198"/>
      <c r="K7" s="198"/>
      <c r="L7" s="198"/>
      <c r="M7" s="198"/>
      <c r="N7" s="198"/>
      <c r="O7" s="7"/>
      <c r="P7" s="197"/>
    </row>
    <row r="8" spans="2:17" ht="9" customHeight="1">
      <c r="B8" s="8"/>
      <c r="C8" s="9"/>
      <c r="D8" s="191"/>
      <c r="E8" s="11"/>
      <c r="F8" s="12"/>
      <c r="G8" s="195"/>
      <c r="H8" s="11"/>
      <c r="I8" s="12"/>
      <c r="J8" s="195"/>
      <c r="K8" s="11"/>
      <c r="L8" s="12"/>
      <c r="M8" s="195"/>
      <c r="N8" s="10"/>
      <c r="O8" s="13"/>
      <c r="P8" s="195"/>
      <c r="Q8" s="10" t="s">
        <v>4</v>
      </c>
    </row>
    <row r="9" spans="2:255" s="14" customFormat="1" ht="50.25" customHeight="1">
      <c r="B9" s="15" t="s">
        <v>5</v>
      </c>
      <c r="C9" s="16" t="s">
        <v>6</v>
      </c>
      <c r="D9" s="201" t="s">
        <v>184</v>
      </c>
      <c r="E9" s="17" t="s">
        <v>7</v>
      </c>
      <c r="F9" s="18" t="s">
        <v>8</v>
      </c>
      <c r="G9" s="196" t="s">
        <v>9</v>
      </c>
      <c r="H9" s="17" t="s">
        <v>10</v>
      </c>
      <c r="I9" s="18" t="s">
        <v>11</v>
      </c>
      <c r="J9" s="196" t="s">
        <v>12</v>
      </c>
      <c r="K9" s="17" t="s">
        <v>13</v>
      </c>
      <c r="L9" s="18" t="s">
        <v>14</v>
      </c>
      <c r="M9" s="196" t="s">
        <v>15</v>
      </c>
      <c r="N9" s="19" t="s">
        <v>16</v>
      </c>
      <c r="O9" s="20" t="s">
        <v>17</v>
      </c>
      <c r="P9" s="196" t="s">
        <v>16</v>
      </c>
      <c r="Q9" s="21" t="s">
        <v>18</v>
      </c>
      <c r="R9" s="16" t="s">
        <v>183</v>
      </c>
      <c r="S9" s="203" t="s">
        <v>185</v>
      </c>
      <c r="Z9" s="16" t="s">
        <v>183</v>
      </c>
      <c r="AA9" s="203" t="s">
        <v>185</v>
      </c>
      <c r="IQ9" s="22"/>
      <c r="IR9" s="22"/>
      <c r="IS9" s="22"/>
      <c r="IT9" s="22"/>
      <c r="IU9" s="22"/>
    </row>
    <row r="10" spans="2:255" s="14" customFormat="1" ht="15.75" customHeight="1">
      <c r="B10" s="249" t="s">
        <v>19</v>
      </c>
      <c r="C10" s="249"/>
      <c r="D10" s="249"/>
      <c r="E10" s="15"/>
      <c r="F10" s="24"/>
      <c r="G10" s="192"/>
      <c r="H10" s="15"/>
      <c r="I10" s="24"/>
      <c r="J10" s="192"/>
      <c r="K10" s="15"/>
      <c r="L10" s="24"/>
      <c r="M10" s="192"/>
      <c r="N10" s="16"/>
      <c r="O10" s="25"/>
      <c r="P10" s="192"/>
      <c r="Q10" s="26"/>
      <c r="R10" s="204"/>
      <c r="S10" s="204"/>
      <c r="Z10" s="225"/>
      <c r="AA10" s="222"/>
      <c r="IQ10" s="22"/>
      <c r="IR10" s="22"/>
      <c r="IS10" s="22"/>
      <c r="IT10" s="22"/>
      <c r="IU10" s="22"/>
    </row>
    <row r="11" spans="1:255" s="14" customFormat="1" ht="15" customHeight="1">
      <c r="A11" s="14">
        <v>1</v>
      </c>
      <c r="B11" s="27" t="s">
        <v>20</v>
      </c>
      <c r="C11" s="28" t="s">
        <v>21</v>
      </c>
      <c r="D11" s="29">
        <f>D12+D13+D14</f>
        <v>4</v>
      </c>
      <c r="E11" s="29">
        <f>E12+E13+E14</f>
        <v>4</v>
      </c>
      <c r="F11" s="30">
        <f>F12+F13+F14</f>
        <v>0</v>
      </c>
      <c r="G11" s="29">
        <f>E11+F11</f>
        <v>4</v>
      </c>
      <c r="H11" s="29">
        <f>H12+H13+H14</f>
        <v>0</v>
      </c>
      <c r="I11" s="30">
        <f>I12+I13+I14</f>
        <v>0</v>
      </c>
      <c r="J11" s="29">
        <f>H11+I11</f>
        <v>0</v>
      </c>
      <c r="K11" s="29">
        <f>K12+K13+K14</f>
        <v>0</v>
      </c>
      <c r="L11" s="30">
        <f>L12+L13+L14</f>
        <v>0</v>
      </c>
      <c r="M11" s="29">
        <f>K11+L11</f>
        <v>0</v>
      </c>
      <c r="N11" s="29">
        <f>N12+N13+N14</f>
        <v>0</v>
      </c>
      <c r="O11" s="30">
        <f>O12+O13+O14</f>
        <v>0</v>
      </c>
      <c r="P11" s="29">
        <f>N11+O11</f>
        <v>0</v>
      </c>
      <c r="Q11" s="29">
        <f aca="true" t="shared" si="0" ref="Q11:Q53">G11+J11+M11+P11</f>
        <v>4</v>
      </c>
      <c r="R11" s="204"/>
      <c r="S11" s="204"/>
      <c r="Z11" s="225">
        <v>0</v>
      </c>
      <c r="AA11" s="226">
        <f>D11+Z11</f>
        <v>4</v>
      </c>
      <c r="IQ11" s="22"/>
      <c r="IR11" s="22"/>
      <c r="IS11" s="22"/>
      <c r="IT11" s="22"/>
      <c r="IU11" s="22"/>
    </row>
    <row r="12" spans="2:255" s="14" customFormat="1" ht="15.75" customHeight="1">
      <c r="B12" s="31" t="s">
        <v>22</v>
      </c>
      <c r="C12" s="32" t="s">
        <v>23</v>
      </c>
      <c r="D12" s="33">
        <v>3</v>
      </c>
      <c r="E12" s="33">
        <v>3</v>
      </c>
      <c r="F12" s="34"/>
      <c r="G12" s="29">
        <f>E12+F12</f>
        <v>3</v>
      </c>
      <c r="H12" s="33">
        <v>0</v>
      </c>
      <c r="I12" s="34"/>
      <c r="J12" s="29">
        <f>H12+I12</f>
        <v>0</v>
      </c>
      <c r="K12" s="33">
        <v>0</v>
      </c>
      <c r="L12" s="34"/>
      <c r="M12" s="29">
        <f>K12+L12</f>
        <v>0</v>
      </c>
      <c r="N12" s="35">
        <v>0</v>
      </c>
      <c r="O12" s="36"/>
      <c r="P12" s="29">
        <f>N12+O12</f>
        <v>0</v>
      </c>
      <c r="Q12" s="29">
        <f t="shared" si="0"/>
        <v>3</v>
      </c>
      <c r="R12" s="204"/>
      <c r="S12" s="204"/>
      <c r="Z12" s="209">
        <v>0</v>
      </c>
      <c r="AA12" s="130">
        <f>D12+Z12</f>
        <v>3</v>
      </c>
      <c r="IQ12" s="22"/>
      <c r="IR12" s="22"/>
      <c r="IS12" s="22"/>
      <c r="IT12" s="22"/>
      <c r="IU12" s="22"/>
    </row>
    <row r="13" spans="2:255" s="14" customFormat="1" ht="15.75" customHeight="1">
      <c r="B13" s="31" t="s">
        <v>24</v>
      </c>
      <c r="C13" s="32" t="s">
        <v>25</v>
      </c>
      <c r="D13" s="33">
        <v>0</v>
      </c>
      <c r="E13" s="33">
        <v>0</v>
      </c>
      <c r="F13" s="34"/>
      <c r="G13" s="29">
        <f>E13+F13</f>
        <v>0</v>
      </c>
      <c r="H13" s="33">
        <v>0</v>
      </c>
      <c r="I13" s="34"/>
      <c r="J13" s="29">
        <f>H13+I13</f>
        <v>0</v>
      </c>
      <c r="K13" s="33">
        <v>0</v>
      </c>
      <c r="L13" s="34"/>
      <c r="M13" s="29">
        <f>K13+L13</f>
        <v>0</v>
      </c>
      <c r="N13" s="35">
        <v>0</v>
      </c>
      <c r="O13" s="36"/>
      <c r="P13" s="29">
        <f>N13+O13</f>
        <v>0</v>
      </c>
      <c r="Q13" s="29">
        <f t="shared" si="0"/>
        <v>0</v>
      </c>
      <c r="R13" s="204"/>
      <c r="S13" s="204"/>
      <c r="Z13" s="209">
        <v>0</v>
      </c>
      <c r="AA13" s="130">
        <f>D13+Z13</f>
        <v>0</v>
      </c>
      <c r="IQ13" s="22"/>
      <c r="IR13" s="22"/>
      <c r="IS13" s="22"/>
      <c r="IT13" s="22"/>
      <c r="IU13" s="22"/>
    </row>
    <row r="14" spans="2:255" s="14" customFormat="1" ht="15" customHeight="1">
      <c r="B14" s="37" t="s">
        <v>26</v>
      </c>
      <c r="C14" s="32" t="s">
        <v>27</v>
      </c>
      <c r="D14" s="33">
        <v>1</v>
      </c>
      <c r="E14" s="33">
        <v>1</v>
      </c>
      <c r="F14" s="34"/>
      <c r="G14" s="29">
        <f>E14+F14</f>
        <v>1</v>
      </c>
      <c r="H14" s="33">
        <v>0</v>
      </c>
      <c r="I14" s="34"/>
      <c r="J14" s="29">
        <f>H14+I14</f>
        <v>0</v>
      </c>
      <c r="K14" s="33">
        <v>0</v>
      </c>
      <c r="L14" s="34"/>
      <c r="M14" s="29">
        <f>K14+L14</f>
        <v>0</v>
      </c>
      <c r="N14" s="35">
        <v>0</v>
      </c>
      <c r="O14" s="36"/>
      <c r="P14" s="29">
        <f>N14+O14</f>
        <v>0</v>
      </c>
      <c r="Q14" s="29">
        <f t="shared" si="0"/>
        <v>1</v>
      </c>
      <c r="R14" s="204"/>
      <c r="S14" s="204"/>
      <c r="Z14" s="209">
        <v>0</v>
      </c>
      <c r="AA14" s="130">
        <f>D14+Z14</f>
        <v>1</v>
      </c>
      <c r="IQ14" s="22"/>
      <c r="IR14" s="22"/>
      <c r="IS14" s="22"/>
      <c r="IT14" s="22"/>
      <c r="IU14" s="22"/>
    </row>
    <row r="15" spans="2:255" s="14" customFormat="1" ht="18" customHeight="1" hidden="1">
      <c r="B15" s="38"/>
      <c r="C15" s="23"/>
      <c r="D15" s="33"/>
      <c r="E15" s="33"/>
      <c r="F15" s="34"/>
      <c r="G15" s="29">
        <f>E15+F15</f>
        <v>0</v>
      </c>
      <c r="H15" s="33"/>
      <c r="I15" s="34"/>
      <c r="J15" s="29">
        <f>H15+I15</f>
        <v>0</v>
      </c>
      <c r="K15" s="33"/>
      <c r="L15" s="34"/>
      <c r="M15" s="29">
        <f>K15+L15</f>
        <v>0</v>
      </c>
      <c r="N15" s="35"/>
      <c r="O15" s="36"/>
      <c r="P15" s="29">
        <f>N15+O15</f>
        <v>0</v>
      </c>
      <c r="Q15" s="29">
        <f t="shared" si="0"/>
        <v>0</v>
      </c>
      <c r="R15" s="204"/>
      <c r="S15" s="204"/>
      <c r="Z15" s="225"/>
      <c r="AA15" s="225"/>
      <c r="IQ15" s="22"/>
      <c r="IR15" s="22"/>
      <c r="IS15" s="22"/>
      <c r="IT15" s="22"/>
      <c r="IU15" s="22"/>
    </row>
    <row r="16" spans="2:255" s="14" customFormat="1" ht="18" customHeight="1" hidden="1">
      <c r="B16" s="39"/>
      <c r="C16" s="23"/>
      <c r="D16" s="29">
        <f aca="true" t="shared" si="1" ref="D16:P16">D17+D18+D19</f>
        <v>4</v>
      </c>
      <c r="E16" s="29">
        <f t="shared" si="1"/>
        <v>4</v>
      </c>
      <c r="F16" s="30">
        <f t="shared" si="1"/>
        <v>0</v>
      </c>
      <c r="G16" s="29">
        <f t="shared" si="1"/>
        <v>4</v>
      </c>
      <c r="H16" s="29">
        <f t="shared" si="1"/>
        <v>0</v>
      </c>
      <c r="I16" s="29">
        <f t="shared" si="1"/>
        <v>0</v>
      </c>
      <c r="J16" s="29">
        <f t="shared" si="1"/>
        <v>0</v>
      </c>
      <c r="K16" s="29">
        <f t="shared" si="1"/>
        <v>0</v>
      </c>
      <c r="L16" s="29">
        <f t="shared" si="1"/>
        <v>0</v>
      </c>
      <c r="M16" s="29">
        <f t="shared" si="1"/>
        <v>0</v>
      </c>
      <c r="N16" s="29">
        <f t="shared" si="1"/>
        <v>0</v>
      </c>
      <c r="O16" s="29">
        <f t="shared" si="1"/>
        <v>0</v>
      </c>
      <c r="P16" s="29">
        <f t="shared" si="1"/>
        <v>0</v>
      </c>
      <c r="Q16" s="29">
        <f t="shared" si="0"/>
        <v>4</v>
      </c>
      <c r="R16" s="204"/>
      <c r="S16" s="204"/>
      <c r="Z16" s="225"/>
      <c r="AA16" s="225"/>
      <c r="IQ16" s="22"/>
      <c r="IR16" s="22"/>
      <c r="IS16" s="22"/>
      <c r="IT16" s="22"/>
      <c r="IU16" s="22"/>
    </row>
    <row r="17" spans="2:255" s="14" customFormat="1" ht="15" customHeight="1" hidden="1">
      <c r="B17" s="37" t="s">
        <v>28</v>
      </c>
      <c r="C17" s="40" t="s">
        <v>23</v>
      </c>
      <c r="D17" s="33">
        <v>3</v>
      </c>
      <c r="E17" s="33">
        <v>3</v>
      </c>
      <c r="F17" s="34"/>
      <c r="G17" s="29">
        <f aca="true" t="shared" si="2" ref="G17:G28">E17+F17</f>
        <v>3</v>
      </c>
      <c r="H17" s="33">
        <v>0</v>
      </c>
      <c r="I17" s="34"/>
      <c r="J17" s="29">
        <f aca="true" t="shared" si="3" ref="J17:J28">H17+I17</f>
        <v>0</v>
      </c>
      <c r="K17" s="33">
        <v>0</v>
      </c>
      <c r="L17" s="34"/>
      <c r="M17" s="29">
        <f aca="true" t="shared" si="4" ref="M17:M33">K17+L17</f>
        <v>0</v>
      </c>
      <c r="N17" s="35">
        <v>0</v>
      </c>
      <c r="O17" s="36"/>
      <c r="P17" s="29">
        <f aca="true" t="shared" si="5" ref="P17:P53">N17+O17</f>
        <v>0</v>
      </c>
      <c r="Q17" s="29">
        <f t="shared" si="0"/>
        <v>3</v>
      </c>
      <c r="R17" s="204"/>
      <c r="S17" s="204"/>
      <c r="Z17" s="225"/>
      <c r="AA17" s="225"/>
      <c r="IQ17" s="22"/>
      <c r="IR17" s="22"/>
      <c r="IS17" s="22"/>
      <c r="IT17" s="22"/>
      <c r="IU17" s="22"/>
    </row>
    <row r="18" spans="2:255" s="14" customFormat="1" ht="16.5" customHeight="1" hidden="1">
      <c r="B18" s="37" t="s">
        <v>29</v>
      </c>
      <c r="C18" s="40" t="s">
        <v>30</v>
      </c>
      <c r="D18" s="33">
        <f>E18+H18+K18+N18</f>
        <v>0</v>
      </c>
      <c r="E18" s="33">
        <v>0</v>
      </c>
      <c r="F18" s="34"/>
      <c r="G18" s="29">
        <f t="shared" si="2"/>
        <v>0</v>
      </c>
      <c r="H18" s="33">
        <v>0</v>
      </c>
      <c r="I18" s="34"/>
      <c r="J18" s="29">
        <f t="shared" si="3"/>
        <v>0</v>
      </c>
      <c r="K18" s="33">
        <v>0</v>
      </c>
      <c r="L18" s="34"/>
      <c r="M18" s="29">
        <f t="shared" si="4"/>
        <v>0</v>
      </c>
      <c r="N18" s="35">
        <v>0</v>
      </c>
      <c r="O18" s="36"/>
      <c r="P18" s="29">
        <f t="shared" si="5"/>
        <v>0</v>
      </c>
      <c r="Q18" s="29">
        <f t="shared" si="0"/>
        <v>0</v>
      </c>
      <c r="R18" s="204"/>
      <c r="S18" s="204"/>
      <c r="Z18" s="225"/>
      <c r="AA18" s="225"/>
      <c r="IQ18" s="22"/>
      <c r="IR18" s="22"/>
      <c r="IS18" s="22"/>
      <c r="IT18" s="22"/>
      <c r="IU18" s="22"/>
    </row>
    <row r="19" spans="2:255" s="14" customFormat="1" ht="23.25" customHeight="1" hidden="1">
      <c r="B19" s="37" t="s">
        <v>31</v>
      </c>
      <c r="C19" s="40" t="s">
        <v>27</v>
      </c>
      <c r="D19" s="33">
        <v>1</v>
      </c>
      <c r="E19" s="33">
        <v>1</v>
      </c>
      <c r="F19" s="34"/>
      <c r="G19" s="29">
        <f t="shared" si="2"/>
        <v>1</v>
      </c>
      <c r="H19" s="33">
        <v>0</v>
      </c>
      <c r="I19" s="34"/>
      <c r="J19" s="29">
        <f t="shared" si="3"/>
        <v>0</v>
      </c>
      <c r="K19" s="33">
        <v>0</v>
      </c>
      <c r="L19" s="34"/>
      <c r="M19" s="29">
        <f t="shared" si="4"/>
        <v>0</v>
      </c>
      <c r="N19" s="35">
        <v>0</v>
      </c>
      <c r="O19" s="36"/>
      <c r="P19" s="29">
        <f t="shared" si="5"/>
        <v>0</v>
      </c>
      <c r="Q19" s="29">
        <f t="shared" si="0"/>
        <v>1</v>
      </c>
      <c r="R19" s="204"/>
      <c r="S19" s="204"/>
      <c r="Z19" s="225"/>
      <c r="AA19" s="225"/>
      <c r="IQ19" s="22"/>
      <c r="IR19" s="22"/>
      <c r="IS19" s="22"/>
      <c r="IT19" s="22"/>
      <c r="IU19" s="22"/>
    </row>
    <row r="20" spans="1:255" s="14" customFormat="1" ht="31.5" customHeight="1">
      <c r="A20" s="14">
        <v>2</v>
      </c>
      <c r="B20" s="27" t="s">
        <v>20</v>
      </c>
      <c r="C20" s="28" t="s">
        <v>32</v>
      </c>
      <c r="D20" s="29">
        <f>D21+D22+D23</f>
        <v>4</v>
      </c>
      <c r="E20" s="29">
        <f>E21+E22+E23</f>
        <v>4</v>
      </c>
      <c r="F20" s="30">
        <f>F21+F22+F23</f>
        <v>0</v>
      </c>
      <c r="G20" s="29">
        <f t="shared" si="2"/>
        <v>4</v>
      </c>
      <c r="H20" s="29">
        <f>H21+H22+H23</f>
        <v>0</v>
      </c>
      <c r="I20" s="30">
        <f>I21+I22+I23</f>
        <v>0</v>
      </c>
      <c r="J20" s="29">
        <f t="shared" si="3"/>
        <v>0</v>
      </c>
      <c r="K20" s="29">
        <f>K21+K22+K23</f>
        <v>0</v>
      </c>
      <c r="L20" s="30">
        <f>L21+L22+L23</f>
        <v>0</v>
      </c>
      <c r="M20" s="29">
        <f t="shared" si="4"/>
        <v>0</v>
      </c>
      <c r="N20" s="29">
        <f>N21+N22+N23</f>
        <v>0</v>
      </c>
      <c r="O20" s="30">
        <f>O21+O22+O23</f>
        <v>0</v>
      </c>
      <c r="P20" s="29">
        <f t="shared" si="5"/>
        <v>0</v>
      </c>
      <c r="Q20" s="29">
        <f t="shared" si="0"/>
        <v>4</v>
      </c>
      <c r="R20" s="204"/>
      <c r="S20" s="204"/>
      <c r="Z20" s="225">
        <v>0</v>
      </c>
      <c r="AA20" s="226">
        <f>D20+Z20</f>
        <v>4</v>
      </c>
      <c r="IQ20" s="22"/>
      <c r="IR20" s="22"/>
      <c r="IS20" s="22"/>
      <c r="IT20" s="22"/>
      <c r="IU20" s="22"/>
    </row>
    <row r="21" spans="2:255" s="14" customFormat="1" ht="16.5" customHeight="1">
      <c r="B21" s="31" t="s">
        <v>22</v>
      </c>
      <c r="C21" s="32" t="s">
        <v>23</v>
      </c>
      <c r="D21" s="33">
        <v>3</v>
      </c>
      <c r="E21" s="33">
        <v>3</v>
      </c>
      <c r="F21" s="34"/>
      <c r="G21" s="29">
        <f t="shared" si="2"/>
        <v>3</v>
      </c>
      <c r="H21" s="33">
        <v>0</v>
      </c>
      <c r="I21" s="34"/>
      <c r="J21" s="29">
        <f t="shared" si="3"/>
        <v>0</v>
      </c>
      <c r="K21" s="33">
        <v>0</v>
      </c>
      <c r="L21" s="34"/>
      <c r="M21" s="29">
        <f t="shared" si="4"/>
        <v>0</v>
      </c>
      <c r="N21" s="35">
        <v>0</v>
      </c>
      <c r="O21" s="36"/>
      <c r="P21" s="29">
        <f t="shared" si="5"/>
        <v>0</v>
      </c>
      <c r="Q21" s="29">
        <f t="shared" si="0"/>
        <v>3</v>
      </c>
      <c r="R21" s="204"/>
      <c r="S21" s="204"/>
      <c r="Z21" s="209">
        <v>0</v>
      </c>
      <c r="AA21" s="130">
        <f>D21+Z21</f>
        <v>3</v>
      </c>
      <c r="IQ21" s="22"/>
      <c r="IR21" s="22"/>
      <c r="IS21" s="22"/>
      <c r="IT21" s="22"/>
      <c r="IU21" s="22"/>
    </row>
    <row r="22" spans="2:255" s="14" customFormat="1" ht="15.75" customHeight="1">
      <c r="B22" s="31" t="s">
        <v>24</v>
      </c>
      <c r="C22" s="32" t="s">
        <v>25</v>
      </c>
      <c r="D22" s="33">
        <v>0</v>
      </c>
      <c r="E22" s="33">
        <v>0</v>
      </c>
      <c r="F22" s="34"/>
      <c r="G22" s="29">
        <f t="shared" si="2"/>
        <v>0</v>
      </c>
      <c r="H22" s="33">
        <v>0</v>
      </c>
      <c r="I22" s="34"/>
      <c r="J22" s="29">
        <f t="shared" si="3"/>
        <v>0</v>
      </c>
      <c r="K22" s="33">
        <v>0</v>
      </c>
      <c r="L22" s="34"/>
      <c r="M22" s="29">
        <f t="shared" si="4"/>
        <v>0</v>
      </c>
      <c r="N22" s="35">
        <v>0</v>
      </c>
      <c r="O22" s="36"/>
      <c r="P22" s="29">
        <f t="shared" si="5"/>
        <v>0</v>
      </c>
      <c r="Q22" s="29">
        <f t="shared" si="0"/>
        <v>0</v>
      </c>
      <c r="R22" s="204"/>
      <c r="S22" s="204"/>
      <c r="Z22" s="209">
        <v>0</v>
      </c>
      <c r="AA22" s="130">
        <f>D22+Z22</f>
        <v>0</v>
      </c>
      <c r="IQ22" s="22"/>
      <c r="IR22" s="22"/>
      <c r="IS22" s="22"/>
      <c r="IT22" s="22"/>
      <c r="IU22" s="22"/>
    </row>
    <row r="23" spans="2:255" s="14" customFormat="1" ht="16.5" customHeight="1">
      <c r="B23" s="37" t="s">
        <v>26</v>
      </c>
      <c r="C23" s="32" t="s">
        <v>27</v>
      </c>
      <c r="D23" s="33">
        <v>1</v>
      </c>
      <c r="E23" s="33">
        <v>1</v>
      </c>
      <c r="F23" s="34"/>
      <c r="G23" s="29">
        <f t="shared" si="2"/>
        <v>1</v>
      </c>
      <c r="H23" s="33">
        <v>0</v>
      </c>
      <c r="I23" s="34"/>
      <c r="J23" s="29">
        <f t="shared" si="3"/>
        <v>0</v>
      </c>
      <c r="K23" s="33">
        <v>0</v>
      </c>
      <c r="L23" s="34"/>
      <c r="M23" s="29">
        <f t="shared" si="4"/>
        <v>0</v>
      </c>
      <c r="N23" s="35">
        <v>0</v>
      </c>
      <c r="O23" s="36"/>
      <c r="P23" s="29">
        <f t="shared" si="5"/>
        <v>0</v>
      </c>
      <c r="Q23" s="29">
        <f t="shared" si="0"/>
        <v>1</v>
      </c>
      <c r="R23" s="204"/>
      <c r="S23" s="204"/>
      <c r="Z23" s="209">
        <v>0</v>
      </c>
      <c r="AA23" s="130">
        <f>D23+Z23</f>
        <v>1</v>
      </c>
      <c r="IQ23" s="22"/>
      <c r="IR23" s="22"/>
      <c r="IS23" s="22"/>
      <c r="IT23" s="22"/>
      <c r="IU23" s="22"/>
    </row>
    <row r="24" spans="2:255" s="14" customFormat="1" ht="18" customHeight="1" hidden="1">
      <c r="B24" s="38"/>
      <c r="C24" s="23"/>
      <c r="D24" s="33"/>
      <c r="E24" s="33"/>
      <c r="F24" s="34"/>
      <c r="G24" s="29">
        <f t="shared" si="2"/>
        <v>0</v>
      </c>
      <c r="H24" s="33"/>
      <c r="I24" s="34"/>
      <c r="J24" s="29">
        <f t="shared" si="3"/>
        <v>0</v>
      </c>
      <c r="K24" s="33"/>
      <c r="L24" s="34"/>
      <c r="M24" s="29">
        <f t="shared" si="4"/>
        <v>0</v>
      </c>
      <c r="N24" s="35"/>
      <c r="O24" s="36"/>
      <c r="P24" s="29">
        <f t="shared" si="5"/>
        <v>0</v>
      </c>
      <c r="Q24" s="29">
        <f t="shared" si="0"/>
        <v>0</v>
      </c>
      <c r="R24" s="204"/>
      <c r="S24" s="204"/>
      <c r="Z24" s="225"/>
      <c r="AA24" s="222"/>
      <c r="IQ24" s="22"/>
      <c r="IR24" s="22"/>
      <c r="IS24" s="22"/>
      <c r="IT24" s="22"/>
      <c r="IU24" s="22"/>
    </row>
    <row r="25" spans="2:255" s="14" customFormat="1" ht="18" customHeight="1" hidden="1">
      <c r="B25" s="39"/>
      <c r="C25" s="23"/>
      <c r="D25" s="29">
        <f>D26+D27+D28</f>
        <v>4</v>
      </c>
      <c r="E25" s="29">
        <f>E26+E27+E28</f>
        <v>4</v>
      </c>
      <c r="F25" s="30">
        <f>F26+F27+F28</f>
        <v>0</v>
      </c>
      <c r="G25" s="29">
        <f t="shared" si="2"/>
        <v>4</v>
      </c>
      <c r="H25" s="29">
        <f>H26+H27+H28</f>
        <v>0</v>
      </c>
      <c r="I25" s="30">
        <f>I26+I27+I28</f>
        <v>0</v>
      </c>
      <c r="J25" s="29">
        <f t="shared" si="3"/>
        <v>0</v>
      </c>
      <c r="K25" s="29">
        <f>K26+K27+K28</f>
        <v>0</v>
      </c>
      <c r="L25" s="30">
        <f>L26+L27+L28</f>
        <v>0</v>
      </c>
      <c r="M25" s="29">
        <f t="shared" si="4"/>
        <v>0</v>
      </c>
      <c r="N25" s="29">
        <f>N26+N27+N28</f>
        <v>0</v>
      </c>
      <c r="O25" s="30">
        <f>O26+O27+O28</f>
        <v>0</v>
      </c>
      <c r="P25" s="29">
        <f t="shared" si="5"/>
        <v>0</v>
      </c>
      <c r="Q25" s="29">
        <f t="shared" si="0"/>
        <v>4</v>
      </c>
      <c r="R25" s="204"/>
      <c r="S25" s="204"/>
      <c r="Z25" s="225"/>
      <c r="AA25" s="222"/>
      <c r="IQ25" s="22"/>
      <c r="IR25" s="22"/>
      <c r="IS25" s="22"/>
      <c r="IT25" s="22"/>
      <c r="IU25" s="22"/>
    </row>
    <row r="26" spans="2:255" s="14" customFormat="1" ht="18" customHeight="1" hidden="1">
      <c r="B26" s="37" t="s">
        <v>28</v>
      </c>
      <c r="C26" s="40" t="s">
        <v>23</v>
      </c>
      <c r="D26" s="33">
        <v>3</v>
      </c>
      <c r="E26" s="33">
        <v>3</v>
      </c>
      <c r="F26" s="34"/>
      <c r="G26" s="29">
        <f t="shared" si="2"/>
        <v>3</v>
      </c>
      <c r="H26" s="33">
        <v>0</v>
      </c>
      <c r="I26" s="34"/>
      <c r="J26" s="29">
        <f t="shared" si="3"/>
        <v>0</v>
      </c>
      <c r="K26" s="33">
        <v>0</v>
      </c>
      <c r="L26" s="34"/>
      <c r="M26" s="29">
        <f t="shared" si="4"/>
        <v>0</v>
      </c>
      <c r="N26" s="35">
        <v>0</v>
      </c>
      <c r="O26" s="36"/>
      <c r="P26" s="29">
        <f t="shared" si="5"/>
        <v>0</v>
      </c>
      <c r="Q26" s="29">
        <f t="shared" si="0"/>
        <v>3</v>
      </c>
      <c r="R26" s="204"/>
      <c r="S26" s="204"/>
      <c r="Z26" s="225"/>
      <c r="AA26" s="222"/>
      <c r="IQ26" s="22"/>
      <c r="IR26" s="22"/>
      <c r="IS26" s="22"/>
      <c r="IT26" s="22"/>
      <c r="IU26" s="22"/>
    </row>
    <row r="27" spans="2:255" s="14" customFormat="1" ht="18" customHeight="1" hidden="1">
      <c r="B27" s="37" t="s">
        <v>29</v>
      </c>
      <c r="C27" s="40" t="s">
        <v>30</v>
      </c>
      <c r="D27" s="33">
        <f>E27+H27+K27+N27</f>
        <v>0</v>
      </c>
      <c r="E27" s="33">
        <v>0</v>
      </c>
      <c r="F27" s="34"/>
      <c r="G27" s="29">
        <f t="shared" si="2"/>
        <v>0</v>
      </c>
      <c r="H27" s="33">
        <v>0</v>
      </c>
      <c r="I27" s="34"/>
      <c r="J27" s="29">
        <f t="shared" si="3"/>
        <v>0</v>
      </c>
      <c r="K27" s="33">
        <v>0</v>
      </c>
      <c r="L27" s="34"/>
      <c r="M27" s="29">
        <f t="shared" si="4"/>
        <v>0</v>
      </c>
      <c r="N27" s="35">
        <v>0</v>
      </c>
      <c r="O27" s="36"/>
      <c r="P27" s="29">
        <f t="shared" si="5"/>
        <v>0</v>
      </c>
      <c r="Q27" s="29">
        <f t="shared" si="0"/>
        <v>0</v>
      </c>
      <c r="R27" s="204"/>
      <c r="S27" s="204"/>
      <c r="Z27" s="225"/>
      <c r="AA27" s="222"/>
      <c r="IQ27" s="22"/>
      <c r="IR27" s="22"/>
      <c r="IS27" s="22"/>
      <c r="IT27" s="22"/>
      <c r="IU27" s="22"/>
    </row>
    <row r="28" spans="2:255" s="14" customFormat="1" ht="18" customHeight="1" hidden="1">
      <c r="B28" s="37" t="s">
        <v>31</v>
      </c>
      <c r="C28" s="40" t="s">
        <v>27</v>
      </c>
      <c r="D28" s="33">
        <v>1</v>
      </c>
      <c r="E28" s="33">
        <v>1</v>
      </c>
      <c r="F28" s="34"/>
      <c r="G28" s="29">
        <f t="shared" si="2"/>
        <v>1</v>
      </c>
      <c r="H28" s="33">
        <v>0</v>
      </c>
      <c r="I28" s="34"/>
      <c r="J28" s="29">
        <f t="shared" si="3"/>
        <v>0</v>
      </c>
      <c r="K28" s="33">
        <v>0</v>
      </c>
      <c r="L28" s="34"/>
      <c r="M28" s="29">
        <f t="shared" si="4"/>
        <v>0</v>
      </c>
      <c r="N28" s="35">
        <v>0</v>
      </c>
      <c r="O28" s="36"/>
      <c r="P28" s="29">
        <f t="shared" si="5"/>
        <v>0</v>
      </c>
      <c r="Q28" s="29">
        <f t="shared" si="0"/>
        <v>1</v>
      </c>
      <c r="R28" s="204"/>
      <c r="S28" s="204"/>
      <c r="Z28" s="225"/>
      <c r="AA28" s="222"/>
      <c r="IQ28" s="22"/>
      <c r="IR28" s="22"/>
      <c r="IS28" s="22"/>
      <c r="IT28" s="22"/>
      <c r="IU28" s="22"/>
    </row>
    <row r="29" spans="1:255" s="14" customFormat="1" ht="45">
      <c r="A29" s="14">
        <v>3</v>
      </c>
      <c r="B29" s="23" t="s">
        <v>33</v>
      </c>
      <c r="C29" s="23" t="s">
        <v>34</v>
      </c>
      <c r="D29" s="41">
        <f aca="true" t="shared" si="6" ref="D29:I29">D30+D31+D32</f>
        <v>5669</v>
      </c>
      <c r="E29" s="41">
        <f t="shared" si="6"/>
        <v>5659</v>
      </c>
      <c r="F29" s="42">
        <f t="shared" si="6"/>
        <v>0</v>
      </c>
      <c r="G29" s="29">
        <f t="shared" si="6"/>
        <v>5614</v>
      </c>
      <c r="H29" s="41">
        <f t="shared" si="6"/>
        <v>55</v>
      </c>
      <c r="I29" s="42">
        <f t="shared" si="6"/>
        <v>0</v>
      </c>
      <c r="J29" s="29">
        <f>J30+J31</f>
        <v>55</v>
      </c>
      <c r="K29" s="41">
        <f>K30+K31+K32</f>
        <v>0</v>
      </c>
      <c r="L29" s="42">
        <f>L30+L31+L32</f>
        <v>0</v>
      </c>
      <c r="M29" s="29">
        <f t="shared" si="4"/>
        <v>0</v>
      </c>
      <c r="N29" s="41">
        <f>N30+N31+N32</f>
        <v>0</v>
      </c>
      <c r="O29" s="42">
        <f>O30+O31+O32</f>
        <v>0</v>
      </c>
      <c r="P29" s="29">
        <f t="shared" si="5"/>
        <v>0</v>
      </c>
      <c r="Q29" s="29">
        <f t="shared" si="0"/>
        <v>5669</v>
      </c>
      <c r="R29" s="204"/>
      <c r="S29" s="204"/>
      <c r="Z29" s="225">
        <v>0</v>
      </c>
      <c r="AA29" s="226">
        <f>D29+Z29</f>
        <v>5669</v>
      </c>
      <c r="IQ29" s="22"/>
      <c r="IR29" s="22"/>
      <c r="IS29" s="22"/>
      <c r="IT29" s="22"/>
      <c r="IU29" s="22"/>
    </row>
    <row r="30" spans="2:255" s="14" customFormat="1" ht="15.75" customHeight="1">
      <c r="B30" s="43" t="s">
        <v>35</v>
      </c>
      <c r="C30" s="44"/>
      <c r="D30" s="45">
        <f>G30+J30+M30+P30</f>
        <v>703</v>
      </c>
      <c r="E30" s="33">
        <v>702</v>
      </c>
      <c r="F30" s="34"/>
      <c r="G30" s="33">
        <v>695</v>
      </c>
      <c r="H30" s="33">
        <v>8</v>
      </c>
      <c r="I30" s="34"/>
      <c r="J30" s="33">
        <v>8</v>
      </c>
      <c r="K30" s="33">
        <v>0</v>
      </c>
      <c r="L30" s="34"/>
      <c r="M30" s="33">
        <f t="shared" si="4"/>
        <v>0</v>
      </c>
      <c r="N30" s="35">
        <v>0</v>
      </c>
      <c r="O30" s="36"/>
      <c r="P30" s="33">
        <f t="shared" si="5"/>
        <v>0</v>
      </c>
      <c r="Q30" s="29">
        <f t="shared" si="0"/>
        <v>703</v>
      </c>
      <c r="R30" s="204"/>
      <c r="S30" s="204"/>
      <c r="Z30" s="209">
        <v>0</v>
      </c>
      <c r="AA30" s="130">
        <f>D30+Z30</f>
        <v>703</v>
      </c>
      <c r="IQ30" s="22"/>
      <c r="IR30" s="22"/>
      <c r="IS30" s="22"/>
      <c r="IT30" s="22"/>
      <c r="IU30" s="22"/>
    </row>
    <row r="31" spans="2:255" s="14" customFormat="1" ht="16.5" customHeight="1">
      <c r="B31" s="38" t="s">
        <v>36</v>
      </c>
      <c r="C31" s="46"/>
      <c r="D31" s="45">
        <f>G31+J31+M31+P31</f>
        <v>3984</v>
      </c>
      <c r="E31" s="33">
        <v>3975</v>
      </c>
      <c r="F31" s="34"/>
      <c r="G31" s="33">
        <v>3937</v>
      </c>
      <c r="H31" s="33">
        <v>47</v>
      </c>
      <c r="I31" s="34"/>
      <c r="J31" s="33">
        <v>47</v>
      </c>
      <c r="K31" s="33">
        <v>0</v>
      </c>
      <c r="L31" s="34"/>
      <c r="M31" s="33">
        <f t="shared" si="4"/>
        <v>0</v>
      </c>
      <c r="N31" s="35">
        <v>0</v>
      </c>
      <c r="O31" s="36"/>
      <c r="P31" s="33">
        <f t="shared" si="5"/>
        <v>0</v>
      </c>
      <c r="Q31" s="29">
        <f t="shared" si="0"/>
        <v>3984</v>
      </c>
      <c r="R31" s="204"/>
      <c r="S31" s="204"/>
      <c r="Z31" s="209">
        <v>0</v>
      </c>
      <c r="AA31" s="130">
        <f>D31+Z31</f>
        <v>3984</v>
      </c>
      <c r="IQ31" s="22"/>
      <c r="IR31" s="22"/>
      <c r="IS31" s="22"/>
      <c r="IT31" s="22"/>
      <c r="IU31" s="22"/>
    </row>
    <row r="32" spans="2:255" s="14" customFormat="1" ht="15.75" customHeight="1">
      <c r="B32" s="38" t="s">
        <v>37</v>
      </c>
      <c r="C32" s="47"/>
      <c r="D32" s="45">
        <f>G32+J32+M32+P32</f>
        <v>982</v>
      </c>
      <c r="E32" s="33">
        <v>982</v>
      </c>
      <c r="F32" s="34"/>
      <c r="G32" s="33">
        <v>982</v>
      </c>
      <c r="H32" s="33">
        <v>0</v>
      </c>
      <c r="I32" s="34"/>
      <c r="J32" s="33">
        <f>H32+I32</f>
        <v>0</v>
      </c>
      <c r="K32" s="33">
        <v>0</v>
      </c>
      <c r="L32" s="34"/>
      <c r="M32" s="33">
        <f t="shared" si="4"/>
        <v>0</v>
      </c>
      <c r="N32" s="35">
        <v>0</v>
      </c>
      <c r="O32" s="36"/>
      <c r="P32" s="33">
        <f t="shared" si="5"/>
        <v>0</v>
      </c>
      <c r="Q32" s="29">
        <f t="shared" si="0"/>
        <v>982</v>
      </c>
      <c r="R32" s="204"/>
      <c r="S32" s="204"/>
      <c r="Z32" s="209">
        <v>0</v>
      </c>
      <c r="AA32" s="130">
        <f>D32+Z32</f>
        <v>982</v>
      </c>
      <c r="IQ32" s="22"/>
      <c r="IR32" s="22"/>
      <c r="IS32" s="22"/>
      <c r="IT32" s="22"/>
      <c r="IU32" s="22"/>
    </row>
    <row r="33" spans="2:255" s="14" customFormat="1" ht="18" customHeight="1" hidden="1">
      <c r="B33" s="38"/>
      <c r="C33" s="23"/>
      <c r="D33" s="45"/>
      <c r="E33" s="33"/>
      <c r="F33" s="34"/>
      <c r="G33" s="29">
        <f>E33+F33</f>
        <v>0</v>
      </c>
      <c r="H33" s="33"/>
      <c r="I33" s="34"/>
      <c r="J33" s="29">
        <f>H33+I33</f>
        <v>0</v>
      </c>
      <c r="K33" s="33"/>
      <c r="L33" s="34"/>
      <c r="M33" s="29">
        <f t="shared" si="4"/>
        <v>0</v>
      </c>
      <c r="N33" s="35"/>
      <c r="O33" s="36"/>
      <c r="P33" s="29">
        <f t="shared" si="5"/>
        <v>0</v>
      </c>
      <c r="Q33" s="29">
        <f t="shared" si="0"/>
        <v>0</v>
      </c>
      <c r="R33" s="204"/>
      <c r="S33" s="204"/>
      <c r="Z33" s="225"/>
      <c r="AA33" s="222"/>
      <c r="IQ33" s="22"/>
      <c r="IR33" s="22"/>
      <c r="IS33" s="22"/>
      <c r="IT33" s="22"/>
      <c r="IU33" s="22"/>
    </row>
    <row r="34" spans="2:255" s="14" customFormat="1" ht="18" customHeight="1" hidden="1">
      <c r="B34" s="39"/>
      <c r="C34" s="23"/>
      <c r="D34" s="41">
        <f aca="true" t="shared" si="7" ref="D34:L34">D35+D36+D37+D38</f>
        <v>5669</v>
      </c>
      <c r="E34" s="41">
        <f t="shared" si="7"/>
        <v>5659</v>
      </c>
      <c r="F34" s="42">
        <f t="shared" si="7"/>
        <v>0</v>
      </c>
      <c r="G34" s="29">
        <f t="shared" si="7"/>
        <v>5571</v>
      </c>
      <c r="H34" s="41">
        <f t="shared" si="7"/>
        <v>55</v>
      </c>
      <c r="I34" s="42">
        <f t="shared" si="7"/>
        <v>0</v>
      </c>
      <c r="J34" s="29">
        <f t="shared" si="7"/>
        <v>55</v>
      </c>
      <c r="K34" s="41">
        <f t="shared" si="7"/>
        <v>0</v>
      </c>
      <c r="L34" s="42">
        <f t="shared" si="7"/>
        <v>0</v>
      </c>
      <c r="M34" s="29">
        <f>M38+M37+M36+M35</f>
        <v>43</v>
      </c>
      <c r="N34" s="41">
        <f>N35+N36+N37+N38</f>
        <v>0</v>
      </c>
      <c r="O34" s="42">
        <f>O35+O36+O37+O38</f>
        <v>0</v>
      </c>
      <c r="P34" s="29">
        <f t="shared" si="5"/>
        <v>0</v>
      </c>
      <c r="Q34" s="29">
        <f t="shared" si="0"/>
        <v>5669</v>
      </c>
      <c r="R34" s="204"/>
      <c r="S34" s="204"/>
      <c r="Z34" s="225"/>
      <c r="AA34" s="222"/>
      <c r="IQ34" s="22"/>
      <c r="IR34" s="22"/>
      <c r="IS34" s="22"/>
      <c r="IT34" s="22"/>
      <c r="IU34" s="22"/>
    </row>
    <row r="35" spans="2:255" s="14" customFormat="1" ht="17.25" customHeight="1" hidden="1">
      <c r="B35" s="38" t="s">
        <v>38</v>
      </c>
      <c r="C35" s="23"/>
      <c r="D35" s="45">
        <f>G35+J35+M35+P35</f>
        <v>660</v>
      </c>
      <c r="E35" s="33">
        <v>608</v>
      </c>
      <c r="F35" s="34"/>
      <c r="G35" s="33">
        <v>648</v>
      </c>
      <c r="H35" s="33">
        <v>7</v>
      </c>
      <c r="I35" s="34"/>
      <c r="J35" s="33">
        <f>H35+I35</f>
        <v>7</v>
      </c>
      <c r="K35" s="33">
        <v>0</v>
      </c>
      <c r="L35" s="34"/>
      <c r="M35" s="33">
        <v>5</v>
      </c>
      <c r="N35" s="33">
        <v>0</v>
      </c>
      <c r="O35" s="34"/>
      <c r="P35" s="33">
        <f t="shared" si="5"/>
        <v>0</v>
      </c>
      <c r="Q35" s="29">
        <f t="shared" si="0"/>
        <v>660</v>
      </c>
      <c r="R35" s="204"/>
      <c r="S35" s="204"/>
      <c r="Z35" s="225"/>
      <c r="AA35" s="222"/>
      <c r="IQ35" s="22"/>
      <c r="IR35" s="22"/>
      <c r="IS35" s="22"/>
      <c r="IT35" s="22"/>
      <c r="IU35" s="22"/>
    </row>
    <row r="36" spans="2:255" s="14" customFormat="1" ht="15.75" customHeight="1" hidden="1">
      <c r="B36" s="38" t="s">
        <v>39</v>
      </c>
      <c r="C36" s="23"/>
      <c r="D36" s="45">
        <f>G36+J36+M36+P36</f>
        <v>3984</v>
      </c>
      <c r="E36" s="33">
        <v>3975</v>
      </c>
      <c r="F36" s="34"/>
      <c r="G36" s="33">
        <v>3937</v>
      </c>
      <c r="H36" s="33">
        <v>47</v>
      </c>
      <c r="I36" s="34"/>
      <c r="J36" s="33">
        <f>H36+I36</f>
        <v>47</v>
      </c>
      <c r="K36" s="33">
        <v>0</v>
      </c>
      <c r="L36" s="34"/>
      <c r="M36" s="33">
        <f>K36+L36</f>
        <v>0</v>
      </c>
      <c r="N36" s="33">
        <v>0</v>
      </c>
      <c r="O36" s="34"/>
      <c r="P36" s="33">
        <f t="shared" si="5"/>
        <v>0</v>
      </c>
      <c r="Q36" s="29">
        <f t="shared" si="0"/>
        <v>3984</v>
      </c>
      <c r="R36" s="204"/>
      <c r="S36" s="205"/>
      <c r="Z36" s="225"/>
      <c r="AA36" s="222"/>
      <c r="IQ36" s="22"/>
      <c r="IR36" s="22"/>
      <c r="IS36" s="22"/>
      <c r="IT36" s="22"/>
      <c r="IU36" s="22"/>
    </row>
    <row r="37" spans="2:255" s="48" customFormat="1" ht="15" hidden="1">
      <c r="B37" s="49" t="s">
        <v>40</v>
      </c>
      <c r="C37" s="50"/>
      <c r="D37" s="51">
        <f>G37+J37+M37+P37</f>
        <v>339</v>
      </c>
      <c r="E37" s="33">
        <v>0</v>
      </c>
      <c r="F37" s="34"/>
      <c r="G37" s="33">
        <v>301</v>
      </c>
      <c r="H37" s="33">
        <v>0</v>
      </c>
      <c r="I37" s="34"/>
      <c r="J37" s="33">
        <f>H37+I37</f>
        <v>0</v>
      </c>
      <c r="K37" s="33">
        <v>0</v>
      </c>
      <c r="L37" s="34"/>
      <c r="M37" s="33">
        <v>38</v>
      </c>
      <c r="N37" s="35">
        <v>0</v>
      </c>
      <c r="O37" s="36"/>
      <c r="P37" s="33">
        <f t="shared" si="5"/>
        <v>0</v>
      </c>
      <c r="Q37" s="29">
        <f t="shared" si="0"/>
        <v>339</v>
      </c>
      <c r="R37" s="205"/>
      <c r="S37" s="205"/>
      <c r="Z37" s="232"/>
      <c r="AA37" s="205"/>
      <c r="IQ37" s="52"/>
      <c r="IR37" s="52"/>
      <c r="IS37" s="52"/>
      <c r="IT37" s="52"/>
      <c r="IU37" s="52"/>
    </row>
    <row r="38" spans="2:255" s="14" customFormat="1" ht="30" hidden="1">
      <c r="B38" s="49" t="s">
        <v>41</v>
      </c>
      <c r="C38" s="23"/>
      <c r="D38" s="45">
        <f>G38+J38+M38+P38</f>
        <v>686</v>
      </c>
      <c r="E38" s="45">
        <v>1076</v>
      </c>
      <c r="F38" s="53"/>
      <c r="G38" s="33">
        <v>685</v>
      </c>
      <c r="H38" s="45">
        <v>1</v>
      </c>
      <c r="I38" s="53"/>
      <c r="J38" s="33">
        <f>H38+I38</f>
        <v>1</v>
      </c>
      <c r="K38" s="45">
        <v>0</v>
      </c>
      <c r="L38" s="53"/>
      <c r="M38" s="33">
        <v>0</v>
      </c>
      <c r="N38" s="45">
        <v>0</v>
      </c>
      <c r="O38" s="53"/>
      <c r="P38" s="33">
        <f t="shared" si="5"/>
        <v>0</v>
      </c>
      <c r="Q38" s="29">
        <f t="shared" si="0"/>
        <v>686</v>
      </c>
      <c r="R38" s="204"/>
      <c r="S38" s="204"/>
      <c r="Z38" s="225"/>
      <c r="AA38" s="222"/>
      <c r="IQ38" s="22"/>
      <c r="IR38" s="22"/>
      <c r="IS38" s="22"/>
      <c r="IT38" s="22"/>
      <c r="IU38" s="22"/>
    </row>
    <row r="39" spans="1:255" s="14" customFormat="1" ht="42" customHeight="1">
      <c r="A39" s="14">
        <v>4</v>
      </c>
      <c r="B39" s="23" t="s">
        <v>33</v>
      </c>
      <c r="C39" s="23" t="s">
        <v>42</v>
      </c>
      <c r="D39" s="29">
        <f>D40+D41+D42</f>
        <v>5432</v>
      </c>
      <c r="E39" s="29">
        <f>E40+E41+E42</f>
        <v>5524</v>
      </c>
      <c r="F39" s="30">
        <f>F40+F41+F42</f>
        <v>0</v>
      </c>
      <c r="G39" s="29">
        <f>G40+G41+G42+G43</f>
        <v>5380</v>
      </c>
      <c r="H39" s="29">
        <f>H40+H41+H42</f>
        <v>52</v>
      </c>
      <c r="I39" s="30">
        <f>I40+I41+I42</f>
        <v>0</v>
      </c>
      <c r="J39" s="29">
        <f>J40+J41+J42+J43</f>
        <v>52</v>
      </c>
      <c r="K39" s="29">
        <f>K40+K41+K42</f>
        <v>0</v>
      </c>
      <c r="L39" s="30">
        <f>L40+L41+L42</f>
        <v>0</v>
      </c>
      <c r="M39" s="29">
        <f>K39+L39</f>
        <v>0</v>
      </c>
      <c r="N39" s="29">
        <f>N40+N41+N42</f>
        <v>0</v>
      </c>
      <c r="O39" s="30">
        <f>O40+O41+O42</f>
        <v>0</v>
      </c>
      <c r="P39" s="29">
        <f t="shared" si="5"/>
        <v>0</v>
      </c>
      <c r="Q39" s="29">
        <f t="shared" si="0"/>
        <v>5432</v>
      </c>
      <c r="R39" s="204"/>
      <c r="S39" s="204"/>
      <c r="Z39" s="225">
        <v>0</v>
      </c>
      <c r="AA39" s="226">
        <f>D39+Z39</f>
        <v>5432</v>
      </c>
      <c r="IQ39" s="22"/>
      <c r="IR39" s="22"/>
      <c r="IS39" s="22"/>
      <c r="IT39" s="22"/>
      <c r="IU39" s="22"/>
    </row>
    <row r="40" spans="2:255" s="14" customFormat="1" ht="16.5" customHeight="1">
      <c r="B40" s="43" t="s">
        <v>35</v>
      </c>
      <c r="C40" s="54"/>
      <c r="D40" s="33">
        <f>G40+J40+M40+P40</f>
        <v>525</v>
      </c>
      <c r="E40" s="33">
        <v>538</v>
      </c>
      <c r="F40" s="34"/>
      <c r="G40" s="33">
        <v>517</v>
      </c>
      <c r="H40" s="33">
        <v>8</v>
      </c>
      <c r="I40" s="34"/>
      <c r="J40" s="33">
        <v>8</v>
      </c>
      <c r="K40" s="33">
        <v>0</v>
      </c>
      <c r="L40" s="34"/>
      <c r="M40" s="33">
        <f>K40+L40</f>
        <v>0</v>
      </c>
      <c r="N40" s="35">
        <v>0</v>
      </c>
      <c r="O40" s="36"/>
      <c r="P40" s="33">
        <f t="shared" si="5"/>
        <v>0</v>
      </c>
      <c r="Q40" s="29">
        <f t="shared" si="0"/>
        <v>525</v>
      </c>
      <c r="R40" s="204"/>
      <c r="S40" s="204"/>
      <c r="Z40" s="209">
        <v>0</v>
      </c>
      <c r="AA40" s="130">
        <f>D40+Z40</f>
        <v>525</v>
      </c>
      <c r="IQ40" s="22"/>
      <c r="IR40" s="22"/>
      <c r="IS40" s="22"/>
      <c r="IT40" s="22"/>
      <c r="IU40" s="22"/>
    </row>
    <row r="41" spans="2:255" s="14" customFormat="1" ht="15.75" customHeight="1">
      <c r="B41" s="38" t="s">
        <v>36</v>
      </c>
      <c r="C41" s="55"/>
      <c r="D41" s="33">
        <f>G41+J41+M41+P41</f>
        <v>2971</v>
      </c>
      <c r="E41" s="33">
        <v>3049</v>
      </c>
      <c r="F41" s="34"/>
      <c r="G41" s="33">
        <v>2927</v>
      </c>
      <c r="H41" s="33">
        <v>44</v>
      </c>
      <c r="I41" s="34"/>
      <c r="J41" s="33">
        <v>44</v>
      </c>
      <c r="K41" s="33">
        <v>0</v>
      </c>
      <c r="L41" s="34"/>
      <c r="M41" s="33">
        <f>K41+L41</f>
        <v>0</v>
      </c>
      <c r="N41" s="35">
        <v>0</v>
      </c>
      <c r="O41" s="36"/>
      <c r="P41" s="33">
        <f t="shared" si="5"/>
        <v>0</v>
      </c>
      <c r="Q41" s="29">
        <f t="shared" si="0"/>
        <v>2971</v>
      </c>
      <c r="R41" s="204"/>
      <c r="S41" s="204"/>
      <c r="Z41" s="209">
        <v>0</v>
      </c>
      <c r="AA41" s="130">
        <f>D41+Z41</f>
        <v>2971</v>
      </c>
      <c r="IQ41" s="22"/>
      <c r="IR41" s="22"/>
      <c r="IS41" s="22"/>
      <c r="IT41" s="22"/>
      <c r="IU41" s="22"/>
    </row>
    <row r="42" spans="2:255" s="14" customFormat="1" ht="16.5" customHeight="1">
      <c r="B42" s="38" t="s">
        <v>37</v>
      </c>
      <c r="C42" s="56"/>
      <c r="D42" s="33">
        <f>G42+J42+M42+P42</f>
        <v>1936</v>
      </c>
      <c r="E42" s="33">
        <v>1937</v>
      </c>
      <c r="F42" s="34"/>
      <c r="G42" s="33">
        <v>1936</v>
      </c>
      <c r="H42" s="33">
        <v>0</v>
      </c>
      <c r="I42" s="34"/>
      <c r="J42" s="33">
        <f>H42+I42</f>
        <v>0</v>
      </c>
      <c r="K42" s="33">
        <v>0</v>
      </c>
      <c r="L42" s="34"/>
      <c r="M42" s="33">
        <f>K42+L42</f>
        <v>0</v>
      </c>
      <c r="N42" s="35">
        <v>0</v>
      </c>
      <c r="O42" s="36"/>
      <c r="P42" s="33">
        <f t="shared" si="5"/>
        <v>0</v>
      </c>
      <c r="Q42" s="29">
        <f t="shared" si="0"/>
        <v>1936</v>
      </c>
      <c r="R42" s="204"/>
      <c r="S42" s="204"/>
      <c r="Z42" s="209">
        <v>0</v>
      </c>
      <c r="AA42" s="130">
        <f>D42+Z42</f>
        <v>1936</v>
      </c>
      <c r="IQ42" s="22"/>
      <c r="IR42" s="22"/>
      <c r="IS42" s="22"/>
      <c r="IT42" s="22"/>
      <c r="IU42" s="22"/>
    </row>
    <row r="43" spans="2:255" s="14" customFormat="1" ht="16.5" customHeight="1" hidden="1">
      <c r="B43" s="38"/>
      <c r="C43" s="23"/>
      <c r="D43" s="33"/>
      <c r="E43" s="33"/>
      <c r="F43" s="34"/>
      <c r="G43" s="33">
        <f>E43+F43</f>
        <v>0</v>
      </c>
      <c r="H43" s="33"/>
      <c r="I43" s="34"/>
      <c r="J43" s="33">
        <f>H43+I43</f>
        <v>0</v>
      </c>
      <c r="K43" s="33"/>
      <c r="L43" s="34"/>
      <c r="M43" s="33">
        <f>K43+L43</f>
        <v>0</v>
      </c>
      <c r="N43" s="35"/>
      <c r="O43" s="36"/>
      <c r="P43" s="33">
        <f t="shared" si="5"/>
        <v>0</v>
      </c>
      <c r="Q43" s="29">
        <f t="shared" si="0"/>
        <v>0</v>
      </c>
      <c r="R43" s="204"/>
      <c r="S43" s="204"/>
      <c r="Z43" s="225"/>
      <c r="AA43" s="222"/>
      <c r="IQ43" s="22"/>
      <c r="IR43" s="22"/>
      <c r="IS43" s="22"/>
      <c r="IT43" s="22"/>
      <c r="IU43" s="22"/>
    </row>
    <row r="44" spans="2:255" s="14" customFormat="1" ht="18" customHeight="1" hidden="1">
      <c r="B44" s="39"/>
      <c r="C44" s="23"/>
      <c r="D44" s="29">
        <f aca="true" t="shared" si="8" ref="D44:O44">D45+D46+D47+D48</f>
        <v>5432</v>
      </c>
      <c r="E44" s="29">
        <f t="shared" si="8"/>
        <v>5524</v>
      </c>
      <c r="F44" s="30">
        <f t="shared" si="8"/>
        <v>0</v>
      </c>
      <c r="G44" s="33">
        <f t="shared" si="8"/>
        <v>5246</v>
      </c>
      <c r="H44" s="33">
        <f t="shared" si="8"/>
        <v>52</v>
      </c>
      <c r="I44" s="34">
        <f t="shared" si="8"/>
        <v>0</v>
      </c>
      <c r="J44" s="33">
        <f t="shared" si="8"/>
        <v>52</v>
      </c>
      <c r="K44" s="33">
        <f t="shared" si="8"/>
        <v>0</v>
      </c>
      <c r="L44" s="34">
        <f t="shared" si="8"/>
        <v>0</v>
      </c>
      <c r="M44" s="33">
        <f t="shared" si="8"/>
        <v>134</v>
      </c>
      <c r="N44" s="33">
        <f t="shared" si="8"/>
        <v>0</v>
      </c>
      <c r="O44" s="34">
        <f t="shared" si="8"/>
        <v>0</v>
      </c>
      <c r="P44" s="33">
        <f t="shared" si="5"/>
        <v>0</v>
      </c>
      <c r="Q44" s="29">
        <f t="shared" si="0"/>
        <v>5432</v>
      </c>
      <c r="R44" s="204"/>
      <c r="S44" s="204"/>
      <c r="Z44" s="225"/>
      <c r="AA44" s="222"/>
      <c r="IQ44" s="22"/>
      <c r="IR44" s="22"/>
      <c r="IS44" s="22"/>
      <c r="IT44" s="22"/>
      <c r="IU44" s="22"/>
    </row>
    <row r="45" spans="2:255" s="14" customFormat="1" ht="17.25" customHeight="1" hidden="1">
      <c r="B45" s="38" t="s">
        <v>38</v>
      </c>
      <c r="C45" s="23"/>
      <c r="D45" s="45">
        <f>G45+J45+M45+P45</f>
        <v>488</v>
      </c>
      <c r="E45" s="33">
        <v>466</v>
      </c>
      <c r="F45" s="34"/>
      <c r="G45" s="33">
        <v>464</v>
      </c>
      <c r="H45" s="33">
        <v>7</v>
      </c>
      <c r="I45" s="34"/>
      <c r="J45" s="33">
        <v>7</v>
      </c>
      <c r="K45" s="33">
        <v>0</v>
      </c>
      <c r="L45" s="34"/>
      <c r="M45" s="33">
        <v>17</v>
      </c>
      <c r="N45" s="33">
        <v>0</v>
      </c>
      <c r="O45" s="34"/>
      <c r="P45" s="33">
        <f t="shared" si="5"/>
        <v>0</v>
      </c>
      <c r="Q45" s="29">
        <f t="shared" si="0"/>
        <v>488</v>
      </c>
      <c r="R45" s="204"/>
      <c r="S45" s="204"/>
      <c r="Z45" s="225"/>
      <c r="AA45" s="222"/>
      <c r="IQ45" s="22"/>
      <c r="IR45" s="22"/>
      <c r="IS45" s="22"/>
      <c r="IT45" s="22"/>
      <c r="IU45" s="22"/>
    </row>
    <row r="46" spans="2:255" s="14" customFormat="1" ht="17.25" customHeight="1" hidden="1">
      <c r="B46" s="38" t="s">
        <v>39</v>
      </c>
      <c r="C46" s="23"/>
      <c r="D46" s="45">
        <f>G46+J46+M46+P46</f>
        <v>2971</v>
      </c>
      <c r="E46" s="33">
        <v>3049</v>
      </c>
      <c r="F46" s="34"/>
      <c r="G46" s="33">
        <v>2927</v>
      </c>
      <c r="H46" s="33">
        <v>44</v>
      </c>
      <c r="I46" s="34"/>
      <c r="J46" s="33">
        <v>44</v>
      </c>
      <c r="K46" s="33">
        <v>0</v>
      </c>
      <c r="L46" s="34"/>
      <c r="M46" s="33">
        <f>K46+L46</f>
        <v>0</v>
      </c>
      <c r="N46" s="33">
        <v>0</v>
      </c>
      <c r="O46" s="34"/>
      <c r="P46" s="33">
        <f t="shared" si="5"/>
        <v>0</v>
      </c>
      <c r="Q46" s="29">
        <f t="shared" si="0"/>
        <v>2971</v>
      </c>
      <c r="R46" s="204"/>
      <c r="S46" s="204"/>
      <c r="Z46" s="225"/>
      <c r="AA46" s="222"/>
      <c r="IQ46" s="22"/>
      <c r="IR46" s="22"/>
      <c r="IS46" s="22"/>
      <c r="IT46" s="22"/>
      <c r="IU46" s="22"/>
    </row>
    <row r="47" spans="2:255" s="14" customFormat="1" ht="18" customHeight="1" hidden="1">
      <c r="B47" s="38" t="s">
        <v>40</v>
      </c>
      <c r="C47" s="23"/>
      <c r="D47" s="51">
        <f>G47+J47+M47+P47</f>
        <v>227</v>
      </c>
      <c r="E47" s="33">
        <v>0</v>
      </c>
      <c r="F47" s="34"/>
      <c r="G47" s="33">
        <v>110</v>
      </c>
      <c r="H47" s="33">
        <v>0</v>
      </c>
      <c r="I47" s="34"/>
      <c r="J47" s="33">
        <f>H47+I47</f>
        <v>0</v>
      </c>
      <c r="K47" s="33">
        <v>0</v>
      </c>
      <c r="L47" s="34"/>
      <c r="M47" s="33">
        <v>117</v>
      </c>
      <c r="N47" s="35">
        <v>0</v>
      </c>
      <c r="O47" s="36"/>
      <c r="P47" s="33">
        <f t="shared" si="5"/>
        <v>0</v>
      </c>
      <c r="Q47" s="29">
        <f t="shared" si="0"/>
        <v>227</v>
      </c>
      <c r="R47" s="204"/>
      <c r="S47" s="204"/>
      <c r="Z47" s="225"/>
      <c r="AA47" s="222"/>
      <c r="IQ47" s="22"/>
      <c r="IR47" s="22"/>
      <c r="IS47" s="22"/>
      <c r="IT47" s="22"/>
      <c r="IU47" s="22"/>
    </row>
    <row r="48" spans="2:255" s="14" customFormat="1" ht="30" hidden="1">
      <c r="B48" s="49" t="s">
        <v>41</v>
      </c>
      <c r="C48" s="23"/>
      <c r="D48" s="45">
        <f>G48+J48+M48+N48</f>
        <v>1746</v>
      </c>
      <c r="E48" s="45">
        <v>2009</v>
      </c>
      <c r="F48" s="53"/>
      <c r="G48" s="33">
        <v>1745</v>
      </c>
      <c r="H48" s="45">
        <v>1</v>
      </c>
      <c r="I48" s="53"/>
      <c r="J48" s="33">
        <f>H48+I48</f>
        <v>1</v>
      </c>
      <c r="K48" s="45">
        <v>0</v>
      </c>
      <c r="L48" s="53"/>
      <c r="M48" s="33">
        <f aca="true" t="shared" si="9" ref="M48:M53">K48+L48</f>
        <v>0</v>
      </c>
      <c r="N48" s="45">
        <v>0</v>
      </c>
      <c r="O48" s="53"/>
      <c r="P48" s="33">
        <f t="shared" si="5"/>
        <v>0</v>
      </c>
      <c r="Q48" s="29">
        <f t="shared" si="0"/>
        <v>1746</v>
      </c>
      <c r="R48" s="204"/>
      <c r="S48" s="204"/>
      <c r="Z48" s="225"/>
      <c r="AA48" s="222"/>
      <c r="IQ48" s="22"/>
      <c r="IR48" s="22"/>
      <c r="IS48" s="22"/>
      <c r="IT48" s="22"/>
      <c r="IU48" s="22"/>
    </row>
    <row r="49" spans="1:255" s="14" customFormat="1" ht="45">
      <c r="A49" s="14">
        <v>5</v>
      </c>
      <c r="B49" s="23" t="s">
        <v>33</v>
      </c>
      <c r="C49" s="23" t="s">
        <v>43</v>
      </c>
      <c r="D49" s="29">
        <f>D50+D51+D52</f>
        <v>3685</v>
      </c>
      <c r="E49" s="29">
        <f>E50+E51+E52</f>
        <v>3551</v>
      </c>
      <c r="F49" s="30">
        <f>F50+F51+F52</f>
        <v>0</v>
      </c>
      <c r="G49" s="29">
        <f>G50+G51+G52+G53</f>
        <v>3647</v>
      </c>
      <c r="H49" s="29">
        <f>H50+H51+H52</f>
        <v>38</v>
      </c>
      <c r="I49" s="30">
        <f>I50+I51+I52</f>
        <v>0</v>
      </c>
      <c r="J49" s="29">
        <f>J50+J51+J52+J53</f>
        <v>38</v>
      </c>
      <c r="K49" s="29">
        <f>K50+K51+K52</f>
        <v>0</v>
      </c>
      <c r="L49" s="30">
        <f>L50+L51+L52</f>
        <v>0</v>
      </c>
      <c r="M49" s="29">
        <f t="shared" si="9"/>
        <v>0</v>
      </c>
      <c r="N49" s="29">
        <f>N50+N51+N52</f>
        <v>0</v>
      </c>
      <c r="O49" s="30">
        <f>O50+O51+O52</f>
        <v>0</v>
      </c>
      <c r="P49" s="29">
        <f t="shared" si="5"/>
        <v>0</v>
      </c>
      <c r="Q49" s="29">
        <f t="shared" si="0"/>
        <v>3685</v>
      </c>
      <c r="R49" s="204"/>
      <c r="S49" s="204"/>
      <c r="Z49" s="225">
        <v>0</v>
      </c>
      <c r="AA49" s="226">
        <f>D49+Z49</f>
        <v>3685</v>
      </c>
      <c r="IQ49" s="22"/>
      <c r="IR49" s="22"/>
      <c r="IS49" s="22"/>
      <c r="IT49" s="22"/>
      <c r="IU49" s="22"/>
    </row>
    <row r="50" spans="2:255" s="14" customFormat="1" ht="17.25" customHeight="1">
      <c r="B50" s="43" t="s">
        <v>44</v>
      </c>
      <c r="C50" s="57"/>
      <c r="D50" s="33">
        <f>E50+H50+K50+N50</f>
        <v>0</v>
      </c>
      <c r="E50" s="33">
        <v>0</v>
      </c>
      <c r="F50" s="34"/>
      <c r="G50" s="29">
        <f>E50+F50</f>
        <v>0</v>
      </c>
      <c r="H50" s="33">
        <v>0</v>
      </c>
      <c r="I50" s="34"/>
      <c r="J50" s="29">
        <f>H50+I50</f>
        <v>0</v>
      </c>
      <c r="K50" s="33">
        <v>0</v>
      </c>
      <c r="L50" s="34"/>
      <c r="M50" s="29">
        <f t="shared" si="9"/>
        <v>0</v>
      </c>
      <c r="N50" s="35">
        <v>0</v>
      </c>
      <c r="O50" s="36"/>
      <c r="P50" s="29">
        <f t="shared" si="5"/>
        <v>0</v>
      </c>
      <c r="Q50" s="29">
        <f t="shared" si="0"/>
        <v>0</v>
      </c>
      <c r="R50" s="204"/>
      <c r="S50" s="204"/>
      <c r="Z50" s="209">
        <v>0</v>
      </c>
      <c r="AA50" s="130">
        <f>D50+Z50</f>
        <v>0</v>
      </c>
      <c r="IQ50" s="22"/>
      <c r="IR50" s="22"/>
      <c r="IS50" s="22"/>
      <c r="IT50" s="22"/>
      <c r="IU50" s="22"/>
    </row>
    <row r="51" spans="2:255" s="14" customFormat="1" ht="18" customHeight="1">
      <c r="B51" s="38" t="s">
        <v>45</v>
      </c>
      <c r="C51" s="58"/>
      <c r="D51" s="33">
        <f>E51+H51+K51+N51</f>
        <v>0</v>
      </c>
      <c r="E51" s="33">
        <v>0</v>
      </c>
      <c r="F51" s="34"/>
      <c r="G51" s="29">
        <f>E51+F51</f>
        <v>0</v>
      </c>
      <c r="H51" s="33">
        <v>0</v>
      </c>
      <c r="I51" s="34"/>
      <c r="J51" s="29">
        <f>H51+I51</f>
        <v>0</v>
      </c>
      <c r="K51" s="33">
        <v>0</v>
      </c>
      <c r="L51" s="34"/>
      <c r="M51" s="29">
        <f t="shared" si="9"/>
        <v>0</v>
      </c>
      <c r="N51" s="35">
        <v>0</v>
      </c>
      <c r="O51" s="36"/>
      <c r="P51" s="29">
        <f t="shared" si="5"/>
        <v>0</v>
      </c>
      <c r="Q51" s="29">
        <f t="shared" si="0"/>
        <v>0</v>
      </c>
      <c r="R51" s="204"/>
      <c r="S51" s="204"/>
      <c r="Z51" s="209">
        <v>0</v>
      </c>
      <c r="AA51" s="130">
        <f>D51+Z51</f>
        <v>0</v>
      </c>
      <c r="IQ51" s="22"/>
      <c r="IR51" s="22"/>
      <c r="IS51" s="22"/>
      <c r="IT51" s="22"/>
      <c r="IU51" s="22"/>
    </row>
    <row r="52" spans="2:255" s="14" customFormat="1" ht="16.5" customHeight="1">
      <c r="B52" s="38" t="s">
        <v>46</v>
      </c>
      <c r="C52" s="58"/>
      <c r="D52" s="33">
        <f>G52+J52+M52+N52</f>
        <v>3685</v>
      </c>
      <c r="E52" s="33">
        <v>3551</v>
      </c>
      <c r="F52" s="34"/>
      <c r="G52" s="29">
        <v>3647</v>
      </c>
      <c r="H52" s="33">
        <v>38</v>
      </c>
      <c r="I52" s="34"/>
      <c r="J52" s="29">
        <f>H52+I52</f>
        <v>38</v>
      </c>
      <c r="K52" s="33">
        <v>0</v>
      </c>
      <c r="L52" s="34"/>
      <c r="M52" s="29">
        <f t="shared" si="9"/>
        <v>0</v>
      </c>
      <c r="N52" s="35">
        <v>0</v>
      </c>
      <c r="O52" s="36"/>
      <c r="P52" s="29">
        <f t="shared" si="5"/>
        <v>0</v>
      </c>
      <c r="Q52" s="29">
        <f t="shared" si="0"/>
        <v>3685</v>
      </c>
      <c r="R52" s="204"/>
      <c r="S52" s="204"/>
      <c r="Z52" s="209">
        <v>0</v>
      </c>
      <c r="AA52" s="130">
        <f>D52+Z52</f>
        <v>3685</v>
      </c>
      <c r="IQ52" s="22"/>
      <c r="IR52" s="22"/>
      <c r="IS52" s="22"/>
      <c r="IT52" s="22"/>
      <c r="IU52" s="22"/>
    </row>
    <row r="53" spans="2:255" s="14" customFormat="1" ht="18.75" customHeight="1" hidden="1">
      <c r="B53" s="38"/>
      <c r="C53" s="59"/>
      <c r="D53" s="33">
        <f>E53+H53+K53+N53</f>
        <v>0</v>
      </c>
      <c r="E53" s="60"/>
      <c r="F53" s="61"/>
      <c r="G53" s="29">
        <f>E53+F53</f>
        <v>0</v>
      </c>
      <c r="H53" s="33"/>
      <c r="I53" s="34"/>
      <c r="J53" s="29">
        <f>H53+I53</f>
        <v>0</v>
      </c>
      <c r="K53" s="33"/>
      <c r="L53" s="34"/>
      <c r="M53" s="29">
        <f t="shared" si="9"/>
        <v>0</v>
      </c>
      <c r="N53" s="35"/>
      <c r="O53" s="36"/>
      <c r="P53" s="29">
        <f t="shared" si="5"/>
        <v>0</v>
      </c>
      <c r="Q53" s="29">
        <f t="shared" si="0"/>
        <v>0</v>
      </c>
      <c r="R53" s="204"/>
      <c r="S53" s="204"/>
      <c r="Z53" s="225"/>
      <c r="AA53" s="222"/>
      <c r="IQ53" s="22"/>
      <c r="IR53" s="22"/>
      <c r="IS53" s="22"/>
      <c r="IT53" s="22"/>
      <c r="IU53" s="22"/>
    </row>
    <row r="54" spans="2:255" s="14" customFormat="1" ht="18" customHeight="1" hidden="1">
      <c r="B54" s="39"/>
      <c r="C54" s="23"/>
      <c r="D54" s="29">
        <f aca="true" t="shared" si="10" ref="D54:Q54">D56+D57+D58+D55</f>
        <v>3685</v>
      </c>
      <c r="E54" s="29">
        <f t="shared" si="10"/>
        <v>3551</v>
      </c>
      <c r="F54" s="30">
        <f t="shared" si="10"/>
        <v>0</v>
      </c>
      <c r="G54" s="29">
        <f t="shared" si="10"/>
        <v>3067</v>
      </c>
      <c r="H54" s="29">
        <f t="shared" si="10"/>
        <v>38</v>
      </c>
      <c r="I54" s="30">
        <f t="shared" si="10"/>
        <v>0</v>
      </c>
      <c r="J54" s="29">
        <f t="shared" si="10"/>
        <v>38</v>
      </c>
      <c r="K54" s="29">
        <f t="shared" si="10"/>
        <v>0</v>
      </c>
      <c r="L54" s="30">
        <f t="shared" si="10"/>
        <v>0</v>
      </c>
      <c r="M54" s="29">
        <f t="shared" si="10"/>
        <v>580</v>
      </c>
      <c r="N54" s="29">
        <f t="shared" si="10"/>
        <v>0</v>
      </c>
      <c r="O54" s="30">
        <f t="shared" si="10"/>
        <v>0</v>
      </c>
      <c r="P54" s="29">
        <f t="shared" si="10"/>
        <v>0</v>
      </c>
      <c r="Q54" s="33">
        <f t="shared" si="10"/>
        <v>3685</v>
      </c>
      <c r="R54" s="204"/>
      <c r="S54" s="204"/>
      <c r="Z54" s="225"/>
      <c r="AA54" s="222"/>
      <c r="IQ54" s="22"/>
      <c r="IR54" s="22"/>
      <c r="IS54" s="22"/>
      <c r="IT54" s="22"/>
      <c r="IU54" s="22"/>
    </row>
    <row r="55" spans="2:255" s="14" customFormat="1" ht="18" customHeight="1" hidden="1">
      <c r="B55" s="38" t="s">
        <v>47</v>
      </c>
      <c r="C55" s="23"/>
      <c r="D55" s="33">
        <f>G55+J55+M55+P55</f>
        <v>102</v>
      </c>
      <c r="E55" s="60">
        <v>0</v>
      </c>
      <c r="F55" s="61"/>
      <c r="G55" s="33">
        <v>25</v>
      </c>
      <c r="H55" s="60">
        <v>0</v>
      </c>
      <c r="I55" s="61"/>
      <c r="J55" s="33">
        <f aca="true" t="shared" si="11" ref="J55:J68">H55+I55</f>
        <v>0</v>
      </c>
      <c r="K55" s="33">
        <v>0</v>
      </c>
      <c r="L55" s="34"/>
      <c r="M55" s="33">
        <v>77</v>
      </c>
      <c r="N55" s="60">
        <v>0</v>
      </c>
      <c r="O55" s="61"/>
      <c r="P55" s="33">
        <f>N55+O55</f>
        <v>0</v>
      </c>
      <c r="Q55" s="29">
        <f aca="true" t="shared" si="12" ref="Q55:Q72">G55+J55+M55+P55</f>
        <v>102</v>
      </c>
      <c r="R55" s="204"/>
      <c r="S55" s="204"/>
      <c r="Z55" s="225"/>
      <c r="AA55" s="222"/>
      <c r="IQ55" s="22"/>
      <c r="IR55" s="22"/>
      <c r="IS55" s="22"/>
      <c r="IT55" s="22"/>
      <c r="IU55" s="22"/>
    </row>
    <row r="56" spans="2:255" s="14" customFormat="1" ht="18" customHeight="1" hidden="1">
      <c r="B56" s="38" t="s">
        <v>48</v>
      </c>
      <c r="C56" s="23"/>
      <c r="D56" s="33">
        <f>G56+J56+M56+P56</f>
        <v>0</v>
      </c>
      <c r="E56" s="60">
        <v>0</v>
      </c>
      <c r="F56" s="61"/>
      <c r="G56" s="33">
        <f>E56+F56</f>
        <v>0</v>
      </c>
      <c r="H56" s="60">
        <v>0</v>
      </c>
      <c r="I56" s="61"/>
      <c r="J56" s="33">
        <f t="shared" si="11"/>
        <v>0</v>
      </c>
      <c r="K56" s="60">
        <v>0</v>
      </c>
      <c r="L56" s="61"/>
      <c r="M56" s="33">
        <f>K56+L56</f>
        <v>0</v>
      </c>
      <c r="N56" s="60">
        <v>0</v>
      </c>
      <c r="O56" s="61"/>
      <c r="P56" s="33">
        <f>N56+O56</f>
        <v>0</v>
      </c>
      <c r="Q56" s="29">
        <f t="shared" si="12"/>
        <v>0</v>
      </c>
      <c r="R56" s="204"/>
      <c r="S56" s="204"/>
      <c r="Z56" s="225"/>
      <c r="AA56" s="222"/>
      <c r="IQ56" s="22"/>
      <c r="IR56" s="22"/>
      <c r="IS56" s="22"/>
      <c r="IT56" s="22"/>
      <c r="IU56" s="22"/>
    </row>
    <row r="57" spans="2:255" s="14" customFormat="1" ht="18" customHeight="1" hidden="1">
      <c r="B57" s="38" t="s">
        <v>49</v>
      </c>
      <c r="C57" s="23"/>
      <c r="D57" s="33">
        <f>G57+J57+M57+P57</f>
        <v>669</v>
      </c>
      <c r="E57" s="60">
        <v>0</v>
      </c>
      <c r="F57" s="61"/>
      <c r="G57" s="33">
        <v>166</v>
      </c>
      <c r="H57" s="60">
        <v>0</v>
      </c>
      <c r="I57" s="61"/>
      <c r="J57" s="33">
        <f t="shared" si="11"/>
        <v>0</v>
      </c>
      <c r="K57" s="60">
        <v>0</v>
      </c>
      <c r="L57" s="61"/>
      <c r="M57" s="33">
        <v>503</v>
      </c>
      <c r="N57" s="62">
        <v>0</v>
      </c>
      <c r="O57" s="63"/>
      <c r="P57" s="33">
        <f>N57+O57</f>
        <v>0</v>
      </c>
      <c r="Q57" s="29">
        <f t="shared" si="12"/>
        <v>669</v>
      </c>
      <c r="R57" s="204"/>
      <c r="S57" s="204"/>
      <c r="Z57" s="225"/>
      <c r="AA57" s="222"/>
      <c r="IQ57" s="22"/>
      <c r="IR57" s="22"/>
      <c r="IS57" s="22"/>
      <c r="IT57" s="22"/>
      <c r="IU57" s="22"/>
    </row>
    <row r="58" spans="2:255" s="14" customFormat="1" ht="30" hidden="1">
      <c r="B58" s="49" t="s">
        <v>41</v>
      </c>
      <c r="C58" s="23"/>
      <c r="D58" s="45">
        <f>G58++J58+M58+P58</f>
        <v>2914</v>
      </c>
      <c r="E58" s="51">
        <v>3551</v>
      </c>
      <c r="F58" s="64"/>
      <c r="G58" s="33">
        <v>2876</v>
      </c>
      <c r="H58" s="51">
        <v>38</v>
      </c>
      <c r="I58" s="64"/>
      <c r="J58" s="33">
        <f t="shared" si="11"/>
        <v>38</v>
      </c>
      <c r="K58" s="51">
        <v>0</v>
      </c>
      <c r="L58" s="64"/>
      <c r="M58" s="33">
        <f aca="true" t="shared" si="13" ref="M58:M68">K58+L58</f>
        <v>0</v>
      </c>
      <c r="N58" s="51">
        <v>0</v>
      </c>
      <c r="O58" s="64"/>
      <c r="P58" s="33">
        <f>N58+O58</f>
        <v>0</v>
      </c>
      <c r="Q58" s="29">
        <f t="shared" si="12"/>
        <v>2914</v>
      </c>
      <c r="R58" s="204"/>
      <c r="S58" s="204"/>
      <c r="Z58" s="225"/>
      <c r="AA58" s="222"/>
      <c r="IQ58" s="22"/>
      <c r="IR58" s="22"/>
      <c r="IS58" s="22"/>
      <c r="IT58" s="22"/>
      <c r="IU58" s="22"/>
    </row>
    <row r="59" spans="1:255" s="14" customFormat="1" ht="42" customHeight="1">
      <c r="A59" s="14">
        <v>6</v>
      </c>
      <c r="B59" s="23" t="s">
        <v>33</v>
      </c>
      <c r="C59" s="28" t="s">
        <v>50</v>
      </c>
      <c r="D59" s="29">
        <f>G59+J59+M59+P59</f>
        <v>6762</v>
      </c>
      <c r="E59" s="29">
        <f>E60+E61+E62</f>
        <v>1612</v>
      </c>
      <c r="F59" s="30">
        <f>F60+F61+F62</f>
        <v>0</v>
      </c>
      <c r="G59" s="29">
        <f>G60+G61+G62</f>
        <v>1612</v>
      </c>
      <c r="H59" s="29">
        <f aca="true" t="shared" si="14" ref="H59:P59">H60+H61+H62</f>
        <v>1750</v>
      </c>
      <c r="I59" s="29">
        <f t="shared" si="14"/>
        <v>0</v>
      </c>
      <c r="J59" s="29">
        <f t="shared" si="14"/>
        <v>1750</v>
      </c>
      <c r="K59" s="29">
        <f t="shared" si="14"/>
        <v>1496</v>
      </c>
      <c r="L59" s="29">
        <f t="shared" si="14"/>
        <v>0</v>
      </c>
      <c r="M59" s="29">
        <f t="shared" si="14"/>
        <v>1496</v>
      </c>
      <c r="N59" s="29">
        <f t="shared" si="14"/>
        <v>1954</v>
      </c>
      <c r="O59" s="29">
        <f t="shared" si="14"/>
        <v>0</v>
      </c>
      <c r="P59" s="29">
        <f t="shared" si="14"/>
        <v>1904</v>
      </c>
      <c r="Q59" s="29">
        <f t="shared" si="12"/>
        <v>6762</v>
      </c>
      <c r="R59" s="204"/>
      <c r="S59" s="204"/>
      <c r="Z59" s="225">
        <v>0</v>
      </c>
      <c r="AA59" s="226">
        <f>D59+Z59</f>
        <v>6762</v>
      </c>
      <c r="IQ59" s="22"/>
      <c r="IR59" s="22"/>
      <c r="IS59" s="22"/>
      <c r="IT59" s="22"/>
      <c r="IU59" s="22"/>
    </row>
    <row r="60" spans="2:255" s="14" customFormat="1" ht="18" customHeight="1">
      <c r="B60" s="43" t="s">
        <v>35</v>
      </c>
      <c r="C60" s="44"/>
      <c r="D60" s="33">
        <f>G60+J60+M60+P60</f>
        <v>729</v>
      </c>
      <c r="E60" s="33">
        <v>242</v>
      </c>
      <c r="F60" s="34"/>
      <c r="G60" s="33">
        <v>242</v>
      </c>
      <c r="H60" s="33">
        <v>263</v>
      </c>
      <c r="I60" s="34"/>
      <c r="J60" s="33">
        <v>263</v>
      </c>
      <c r="K60" s="33">
        <v>224</v>
      </c>
      <c r="L60" s="34"/>
      <c r="M60" s="33">
        <v>224</v>
      </c>
      <c r="N60" s="35">
        <v>0</v>
      </c>
      <c r="O60" s="36"/>
      <c r="P60" s="33">
        <f>N60+O60</f>
        <v>0</v>
      </c>
      <c r="Q60" s="29">
        <f t="shared" si="12"/>
        <v>729</v>
      </c>
      <c r="R60" s="204"/>
      <c r="S60" s="204"/>
      <c r="Z60" s="209">
        <v>0</v>
      </c>
      <c r="AA60" s="130">
        <f>D60+Z60</f>
        <v>729</v>
      </c>
      <c r="IQ60" s="22"/>
      <c r="IR60" s="22"/>
      <c r="IS60" s="22"/>
      <c r="IT60" s="22"/>
      <c r="IU60" s="22"/>
    </row>
    <row r="61" spans="2:255" s="14" customFormat="1" ht="18" customHeight="1">
      <c r="B61" s="43" t="s">
        <v>36</v>
      </c>
      <c r="C61" s="44"/>
      <c r="D61" s="33">
        <f>G61+J61+M61+P61</f>
        <v>4129</v>
      </c>
      <c r="E61" s="33">
        <v>1370</v>
      </c>
      <c r="F61" s="34"/>
      <c r="G61" s="33">
        <v>1370</v>
      </c>
      <c r="H61" s="33">
        <v>1487</v>
      </c>
      <c r="I61" s="34"/>
      <c r="J61" s="33">
        <v>1487</v>
      </c>
      <c r="K61" s="33">
        <v>1272</v>
      </c>
      <c r="L61" s="34"/>
      <c r="M61" s="33">
        <v>1272</v>
      </c>
      <c r="N61" s="35">
        <v>0</v>
      </c>
      <c r="O61" s="36"/>
      <c r="P61" s="33">
        <f>N61+O61</f>
        <v>0</v>
      </c>
      <c r="Q61" s="29">
        <f t="shared" si="12"/>
        <v>4129</v>
      </c>
      <c r="R61" s="204"/>
      <c r="S61" s="204"/>
      <c r="Z61" s="209">
        <v>0</v>
      </c>
      <c r="AA61" s="130">
        <f>D61+Z61</f>
        <v>4129</v>
      </c>
      <c r="IQ61" s="22"/>
      <c r="IR61" s="22"/>
      <c r="IS61" s="22"/>
      <c r="IT61" s="22"/>
      <c r="IU61" s="22"/>
    </row>
    <row r="62" spans="2:255" s="14" customFormat="1" ht="18" customHeight="1">
      <c r="B62" s="43" t="s">
        <v>37</v>
      </c>
      <c r="C62" s="44"/>
      <c r="D62" s="33">
        <f>G62+J62+M62+P62</f>
        <v>1904</v>
      </c>
      <c r="E62" s="33">
        <v>0</v>
      </c>
      <c r="F62" s="34"/>
      <c r="G62" s="33">
        <f aca="true" t="shared" si="15" ref="G62:G67">E62+F62</f>
        <v>0</v>
      </c>
      <c r="H62" s="33">
        <v>0</v>
      </c>
      <c r="I62" s="34"/>
      <c r="J62" s="33">
        <f t="shared" si="11"/>
        <v>0</v>
      </c>
      <c r="K62" s="33">
        <v>0</v>
      </c>
      <c r="L62" s="34"/>
      <c r="M62" s="33">
        <f t="shared" si="13"/>
        <v>0</v>
      </c>
      <c r="N62" s="35">
        <v>1954</v>
      </c>
      <c r="O62" s="36"/>
      <c r="P62" s="33">
        <v>1904</v>
      </c>
      <c r="Q62" s="29">
        <f t="shared" si="12"/>
        <v>1904</v>
      </c>
      <c r="R62" s="204"/>
      <c r="S62" s="204"/>
      <c r="Z62" s="209">
        <v>0</v>
      </c>
      <c r="AA62" s="130">
        <f>D62+Z62</f>
        <v>1904</v>
      </c>
      <c r="IQ62" s="22"/>
      <c r="IR62" s="22"/>
      <c r="IS62" s="22"/>
      <c r="IT62" s="22"/>
      <c r="IU62" s="22"/>
    </row>
    <row r="63" spans="2:255" s="14" customFormat="1" ht="18" customHeight="1" hidden="1">
      <c r="B63" s="43"/>
      <c r="C63" s="44"/>
      <c r="D63" s="33">
        <f>E63+H63+K63+N63</f>
        <v>0</v>
      </c>
      <c r="E63" s="33"/>
      <c r="F63" s="34"/>
      <c r="G63" s="29">
        <f t="shared" si="15"/>
        <v>0</v>
      </c>
      <c r="H63" s="33"/>
      <c r="I63" s="34"/>
      <c r="J63" s="29">
        <f t="shared" si="11"/>
        <v>0</v>
      </c>
      <c r="K63" s="33"/>
      <c r="L63" s="34"/>
      <c r="M63" s="29">
        <f t="shared" si="13"/>
        <v>0</v>
      </c>
      <c r="N63" s="35"/>
      <c r="O63" s="36"/>
      <c r="P63" s="29">
        <f>N63+O63</f>
        <v>0</v>
      </c>
      <c r="Q63" s="29">
        <f t="shared" si="12"/>
        <v>0</v>
      </c>
      <c r="R63" s="204"/>
      <c r="S63" s="204"/>
      <c r="Z63" s="225"/>
      <c r="AA63" s="222"/>
      <c r="IQ63" s="22"/>
      <c r="IR63" s="22"/>
      <c r="IS63" s="22"/>
      <c r="IT63" s="22"/>
      <c r="IU63" s="22"/>
    </row>
    <row r="64" spans="2:255" s="14" customFormat="1" ht="18" customHeight="1" hidden="1">
      <c r="B64" s="43"/>
      <c r="C64" s="44" t="s">
        <v>51</v>
      </c>
      <c r="D64" s="29">
        <f>G64+J64+M64+P64</f>
        <v>6762</v>
      </c>
      <c r="E64" s="29">
        <f>E65+E66+E67+E68</f>
        <v>1612.24</v>
      </c>
      <c r="F64" s="30">
        <f>F65+F66+F67+F68</f>
        <v>0</v>
      </c>
      <c r="G64" s="29">
        <f>G65+G66+G67+G68</f>
        <v>1612</v>
      </c>
      <c r="H64" s="29">
        <f>H65+H66+H67+H68</f>
        <v>1750</v>
      </c>
      <c r="I64" s="30">
        <f>I65+I66+I67+I68</f>
        <v>0</v>
      </c>
      <c r="J64" s="29">
        <f t="shared" si="11"/>
        <v>1750</v>
      </c>
      <c r="K64" s="29">
        <f>K65+K66+K67+K68</f>
        <v>1496</v>
      </c>
      <c r="L64" s="30">
        <f>L65+L66+L67+L68</f>
        <v>0</v>
      </c>
      <c r="M64" s="29">
        <f t="shared" si="13"/>
        <v>1496</v>
      </c>
      <c r="N64" s="29">
        <f>N65+N66+N67+N68</f>
        <v>1954</v>
      </c>
      <c r="O64" s="30">
        <f>O65+O66+O67+O68</f>
        <v>0</v>
      </c>
      <c r="P64" s="29">
        <f>P68</f>
        <v>1904</v>
      </c>
      <c r="Q64" s="29">
        <f t="shared" si="12"/>
        <v>6762</v>
      </c>
      <c r="R64" s="204"/>
      <c r="S64" s="204"/>
      <c r="Z64" s="225"/>
      <c r="AA64" s="222"/>
      <c r="IQ64" s="22"/>
      <c r="IR64" s="22"/>
      <c r="IS64" s="22"/>
      <c r="IT64" s="22"/>
      <c r="IU64" s="22"/>
    </row>
    <row r="65" spans="2:255" s="14" customFormat="1" ht="18" customHeight="1" hidden="1">
      <c r="B65" s="38" t="s">
        <v>38</v>
      </c>
      <c r="C65" s="65"/>
      <c r="D65" s="33">
        <f>G65+J65+M65+P65</f>
        <v>632</v>
      </c>
      <c r="E65" s="33">
        <v>210</v>
      </c>
      <c r="F65" s="34"/>
      <c r="G65" s="33">
        <f t="shared" si="15"/>
        <v>210</v>
      </c>
      <c r="H65" s="33">
        <v>228</v>
      </c>
      <c r="I65" s="34"/>
      <c r="J65" s="33">
        <f t="shared" si="11"/>
        <v>228</v>
      </c>
      <c r="K65" s="66">
        <v>194</v>
      </c>
      <c r="L65" s="67"/>
      <c r="M65" s="33">
        <f t="shared" si="13"/>
        <v>194</v>
      </c>
      <c r="N65" s="35">
        <v>0</v>
      </c>
      <c r="O65" s="36"/>
      <c r="P65" s="33">
        <f>N65+O65</f>
        <v>0</v>
      </c>
      <c r="Q65" s="29">
        <f t="shared" si="12"/>
        <v>632</v>
      </c>
      <c r="R65" s="204"/>
      <c r="S65" s="204"/>
      <c r="Z65" s="225"/>
      <c r="AA65" s="222"/>
      <c r="IQ65" s="22"/>
      <c r="IR65" s="22"/>
      <c r="IS65" s="22"/>
      <c r="IT65" s="22"/>
      <c r="IU65" s="22"/>
    </row>
    <row r="66" spans="2:255" s="14" customFormat="1" ht="18" customHeight="1" hidden="1">
      <c r="B66" s="38" t="s">
        <v>39</v>
      </c>
      <c r="C66" s="65"/>
      <c r="D66" s="33">
        <f>G66+J66+M66+P66</f>
        <v>4129</v>
      </c>
      <c r="E66" s="33">
        <v>1370</v>
      </c>
      <c r="F66" s="34"/>
      <c r="G66" s="33">
        <f t="shared" si="15"/>
        <v>1370</v>
      </c>
      <c r="H66" s="33">
        <v>1487</v>
      </c>
      <c r="I66" s="34"/>
      <c r="J66" s="33">
        <f t="shared" si="11"/>
        <v>1487</v>
      </c>
      <c r="K66" s="66">
        <v>1272</v>
      </c>
      <c r="L66" s="67"/>
      <c r="M66" s="33">
        <f t="shared" si="13"/>
        <v>1272</v>
      </c>
      <c r="N66" s="62">
        <v>0</v>
      </c>
      <c r="O66" s="63"/>
      <c r="P66" s="33">
        <f>N66+O66</f>
        <v>0</v>
      </c>
      <c r="Q66" s="29">
        <f t="shared" si="12"/>
        <v>4129</v>
      </c>
      <c r="R66" s="204"/>
      <c r="S66" s="204"/>
      <c r="Z66" s="225"/>
      <c r="AA66" s="222"/>
      <c r="IQ66" s="22"/>
      <c r="IR66" s="22"/>
      <c r="IS66" s="22"/>
      <c r="IT66" s="22"/>
      <c r="IU66" s="22"/>
    </row>
    <row r="67" spans="2:255" s="14" customFormat="1" ht="18" customHeight="1" hidden="1">
      <c r="B67" s="38" t="s">
        <v>40</v>
      </c>
      <c r="C67" s="65"/>
      <c r="D67" s="33">
        <f>G67+J67+M67+P67</f>
        <v>0</v>
      </c>
      <c r="E67" s="33">
        <v>0</v>
      </c>
      <c r="F67" s="34"/>
      <c r="G67" s="33">
        <f t="shared" si="15"/>
        <v>0</v>
      </c>
      <c r="H67" s="33">
        <v>0</v>
      </c>
      <c r="I67" s="34"/>
      <c r="J67" s="33">
        <f t="shared" si="11"/>
        <v>0</v>
      </c>
      <c r="K67" s="66">
        <v>0</v>
      </c>
      <c r="L67" s="67"/>
      <c r="M67" s="33">
        <f t="shared" si="13"/>
        <v>0</v>
      </c>
      <c r="N67" s="35">
        <v>0</v>
      </c>
      <c r="O67" s="36"/>
      <c r="P67" s="33">
        <f>N67+O67</f>
        <v>0</v>
      </c>
      <c r="Q67" s="29">
        <f t="shared" si="12"/>
        <v>0</v>
      </c>
      <c r="R67" s="204"/>
      <c r="S67" s="204"/>
      <c r="Z67" s="225"/>
      <c r="AA67" s="222"/>
      <c r="IQ67" s="22"/>
      <c r="IR67" s="22"/>
      <c r="IS67" s="22"/>
      <c r="IT67" s="22"/>
      <c r="IU67" s="22"/>
    </row>
    <row r="68" spans="2:255" s="14" customFormat="1" ht="30.75" customHeight="1" hidden="1">
      <c r="B68" s="49" t="s">
        <v>41</v>
      </c>
      <c r="C68" s="23"/>
      <c r="D68" s="33">
        <f>G68+J68+M68+P68</f>
        <v>2001</v>
      </c>
      <c r="E68" s="45">
        <f>(0.02*E59)+E62</f>
        <v>32.24</v>
      </c>
      <c r="F68" s="53"/>
      <c r="G68" s="33">
        <v>32</v>
      </c>
      <c r="H68" s="33">
        <v>35</v>
      </c>
      <c r="I68" s="34"/>
      <c r="J68" s="33">
        <f t="shared" si="11"/>
        <v>35</v>
      </c>
      <c r="K68" s="68">
        <v>30</v>
      </c>
      <c r="L68" s="69"/>
      <c r="M68" s="33">
        <f t="shared" si="13"/>
        <v>30</v>
      </c>
      <c r="N68" s="35">
        <v>1954</v>
      </c>
      <c r="O68" s="36"/>
      <c r="P68" s="33">
        <v>1904</v>
      </c>
      <c r="Q68" s="29">
        <f t="shared" si="12"/>
        <v>2001</v>
      </c>
      <c r="R68" s="204"/>
      <c r="S68" s="204"/>
      <c r="Z68" s="225"/>
      <c r="AA68" s="222"/>
      <c r="IQ68" s="22"/>
      <c r="IR68" s="22"/>
      <c r="IS68" s="22"/>
      <c r="IT68" s="22"/>
      <c r="IU68" s="22"/>
    </row>
    <row r="69" spans="1:255" s="14" customFormat="1" ht="33" customHeight="1">
      <c r="A69" s="14">
        <v>7</v>
      </c>
      <c r="B69" s="23" t="s">
        <v>33</v>
      </c>
      <c r="C69" s="28" t="s">
        <v>52</v>
      </c>
      <c r="D69" s="29">
        <f>D70+D71+D72</f>
        <v>10622</v>
      </c>
      <c r="E69" s="29">
        <f>E70+E71+E72+E73</f>
        <v>2656</v>
      </c>
      <c r="F69" s="30">
        <f>F70+F71+F72+F73</f>
        <v>0</v>
      </c>
      <c r="G69" s="29">
        <f>G70+G71</f>
        <v>2656</v>
      </c>
      <c r="H69" s="29">
        <f aca="true" t="shared" si="16" ref="H69:P69">H70+H71</f>
        <v>2656</v>
      </c>
      <c r="I69" s="29">
        <f t="shared" si="16"/>
        <v>0</v>
      </c>
      <c r="J69" s="29">
        <f t="shared" si="16"/>
        <v>5312</v>
      </c>
      <c r="K69" s="29">
        <f t="shared" si="16"/>
        <v>2656</v>
      </c>
      <c r="L69" s="29">
        <f t="shared" si="16"/>
        <v>0</v>
      </c>
      <c r="M69" s="29">
        <f t="shared" si="16"/>
        <v>2654</v>
      </c>
      <c r="N69" s="29">
        <f t="shared" si="16"/>
        <v>2654</v>
      </c>
      <c r="O69" s="29">
        <f t="shared" si="16"/>
        <v>0</v>
      </c>
      <c r="P69" s="29">
        <f t="shared" si="16"/>
        <v>0</v>
      </c>
      <c r="Q69" s="29">
        <f t="shared" si="12"/>
        <v>10622</v>
      </c>
      <c r="R69" s="204"/>
      <c r="S69" s="204"/>
      <c r="Z69" s="225">
        <v>0</v>
      </c>
      <c r="AA69" s="226">
        <f>D69+Z69</f>
        <v>10622</v>
      </c>
      <c r="IQ69" s="22"/>
      <c r="IR69" s="22"/>
      <c r="IS69" s="22"/>
      <c r="IT69" s="22"/>
      <c r="IU69" s="22"/>
    </row>
    <row r="70" spans="2:255" s="14" customFormat="1" ht="16.5" customHeight="1">
      <c r="B70" s="43" t="s">
        <v>35</v>
      </c>
      <c r="C70" s="44"/>
      <c r="D70" s="33">
        <f>G70+J70+M70+P70</f>
        <v>1408</v>
      </c>
      <c r="E70" s="33">
        <v>352</v>
      </c>
      <c r="F70" s="34"/>
      <c r="G70" s="33">
        <v>352</v>
      </c>
      <c r="H70" s="33">
        <v>352</v>
      </c>
      <c r="I70" s="34"/>
      <c r="J70" s="33">
        <v>704</v>
      </c>
      <c r="K70" s="33">
        <v>352</v>
      </c>
      <c r="L70" s="67"/>
      <c r="M70" s="33">
        <v>352</v>
      </c>
      <c r="N70" s="35">
        <v>352</v>
      </c>
      <c r="O70" s="36"/>
      <c r="P70" s="33">
        <v>0</v>
      </c>
      <c r="Q70" s="29">
        <f t="shared" si="12"/>
        <v>1408</v>
      </c>
      <c r="R70" s="204"/>
      <c r="S70" s="204"/>
      <c r="Z70" s="209">
        <v>0</v>
      </c>
      <c r="AA70" s="130">
        <f>D70+Z70</f>
        <v>1408</v>
      </c>
      <c r="IQ70" s="22"/>
      <c r="IR70" s="22"/>
      <c r="IS70" s="22"/>
      <c r="IT70" s="22"/>
      <c r="IU70" s="22"/>
    </row>
    <row r="71" spans="2:255" s="14" customFormat="1" ht="18" customHeight="1">
      <c r="B71" s="38" t="s">
        <v>36</v>
      </c>
      <c r="C71" s="46"/>
      <c r="D71" s="33">
        <f>G71+J71+M71+P71</f>
        <v>9214</v>
      </c>
      <c r="E71" s="33">
        <v>2304</v>
      </c>
      <c r="F71" s="34"/>
      <c r="G71" s="33">
        <v>2304</v>
      </c>
      <c r="H71" s="33">
        <v>2304</v>
      </c>
      <c r="I71" s="34"/>
      <c r="J71" s="33">
        <v>4608</v>
      </c>
      <c r="K71" s="33">
        <v>2304</v>
      </c>
      <c r="L71" s="67"/>
      <c r="M71" s="33">
        <v>2302</v>
      </c>
      <c r="N71" s="62">
        <v>2302</v>
      </c>
      <c r="O71" s="63"/>
      <c r="P71" s="33">
        <v>0</v>
      </c>
      <c r="Q71" s="29">
        <f t="shared" si="12"/>
        <v>9214</v>
      </c>
      <c r="R71" s="204"/>
      <c r="S71" s="204"/>
      <c r="Z71" s="209">
        <v>0</v>
      </c>
      <c r="AA71" s="130">
        <f>D71+Z71</f>
        <v>9214</v>
      </c>
      <c r="IQ71" s="22"/>
      <c r="IR71" s="22"/>
      <c r="IS71" s="22"/>
      <c r="IT71" s="22"/>
      <c r="IU71" s="22"/>
    </row>
    <row r="72" spans="2:255" s="14" customFormat="1" ht="17.25" customHeight="1">
      <c r="B72" s="38" t="s">
        <v>37</v>
      </c>
      <c r="C72" s="47"/>
      <c r="D72" s="33">
        <f>G72+J72+M72+P72</f>
        <v>0</v>
      </c>
      <c r="E72" s="33">
        <v>0</v>
      </c>
      <c r="F72" s="34"/>
      <c r="G72" s="33">
        <f>E72+F72</f>
        <v>0</v>
      </c>
      <c r="H72" s="33">
        <v>0</v>
      </c>
      <c r="I72" s="34"/>
      <c r="J72" s="33">
        <f>H72+I72</f>
        <v>0</v>
      </c>
      <c r="K72" s="33">
        <v>0</v>
      </c>
      <c r="L72" s="67"/>
      <c r="M72" s="33">
        <f>K72+L72</f>
        <v>0</v>
      </c>
      <c r="N72" s="35">
        <v>0</v>
      </c>
      <c r="O72" s="36"/>
      <c r="P72" s="33">
        <f>N72+O72</f>
        <v>0</v>
      </c>
      <c r="Q72" s="29">
        <f t="shared" si="12"/>
        <v>0</v>
      </c>
      <c r="R72" s="204"/>
      <c r="S72" s="204"/>
      <c r="Z72" s="209">
        <v>0</v>
      </c>
      <c r="AA72" s="130">
        <f>D72+Z72</f>
        <v>0</v>
      </c>
      <c r="IQ72" s="22"/>
      <c r="IR72" s="22"/>
      <c r="IS72" s="22"/>
      <c r="IT72" s="22"/>
      <c r="IU72" s="22"/>
    </row>
    <row r="73" spans="2:255" s="14" customFormat="1" ht="18" customHeight="1" hidden="1">
      <c r="B73" s="38"/>
      <c r="C73" s="23"/>
      <c r="D73" s="33"/>
      <c r="E73" s="45"/>
      <c r="F73" s="53"/>
      <c r="G73" s="33"/>
      <c r="H73" s="45"/>
      <c r="I73" s="34"/>
      <c r="J73" s="33"/>
      <c r="K73" s="45"/>
      <c r="L73" s="69"/>
      <c r="M73" s="33"/>
      <c r="N73" s="35"/>
      <c r="O73" s="36"/>
      <c r="P73" s="33"/>
      <c r="Q73" s="29"/>
      <c r="R73" s="204"/>
      <c r="S73" s="204"/>
      <c r="Z73" s="225"/>
      <c r="AA73" s="222"/>
      <c r="IQ73" s="22"/>
      <c r="IR73" s="22"/>
      <c r="IS73" s="22"/>
      <c r="IT73" s="22"/>
      <c r="IU73" s="22"/>
    </row>
    <row r="74" spans="2:255" s="14" customFormat="1" ht="18" customHeight="1" hidden="1">
      <c r="B74" s="39"/>
      <c r="C74" s="23"/>
      <c r="D74" s="29">
        <f>G74+J74+M74+P74</f>
        <v>10622</v>
      </c>
      <c r="E74" s="29">
        <f aca="true" t="shared" si="17" ref="E74:P74">E75+E76+E77+E78</f>
        <v>2586</v>
      </c>
      <c r="F74" s="29">
        <f t="shared" si="17"/>
        <v>0</v>
      </c>
      <c r="G74" s="29">
        <f t="shared" si="17"/>
        <v>2656</v>
      </c>
      <c r="H74" s="29">
        <f t="shared" si="17"/>
        <v>3430</v>
      </c>
      <c r="I74" s="29">
        <f t="shared" si="17"/>
        <v>0</v>
      </c>
      <c r="J74" s="29">
        <f t="shared" si="17"/>
        <v>5312</v>
      </c>
      <c r="K74" s="29">
        <f t="shared" si="17"/>
        <v>1559</v>
      </c>
      <c r="L74" s="29">
        <f t="shared" si="17"/>
        <v>0</v>
      </c>
      <c r="M74" s="29">
        <f t="shared" si="17"/>
        <v>2654</v>
      </c>
      <c r="N74" s="29">
        <f t="shared" si="17"/>
        <v>0</v>
      </c>
      <c r="O74" s="29">
        <f t="shared" si="17"/>
        <v>0</v>
      </c>
      <c r="P74" s="29">
        <f t="shared" si="17"/>
        <v>0</v>
      </c>
      <c r="Q74" s="29">
        <f>G74+J74+M74+P74</f>
        <v>10622</v>
      </c>
      <c r="R74" s="204"/>
      <c r="S74" s="204"/>
      <c r="Z74" s="225"/>
      <c r="AA74" s="222"/>
      <c r="IQ74" s="22"/>
      <c r="IR74" s="22"/>
      <c r="IS74" s="22"/>
      <c r="IT74" s="22"/>
      <c r="IU74" s="22"/>
    </row>
    <row r="75" spans="2:255" s="14" customFormat="1" ht="18" customHeight="1" hidden="1">
      <c r="B75" s="38" t="s">
        <v>38</v>
      </c>
      <c r="C75" s="23"/>
      <c r="D75" s="33">
        <f>G75+J75+M75+P75</f>
        <v>1591</v>
      </c>
      <c r="E75" s="33">
        <v>335</v>
      </c>
      <c r="F75" s="33"/>
      <c r="G75" s="33">
        <v>398</v>
      </c>
      <c r="H75" s="33">
        <v>455</v>
      </c>
      <c r="I75" s="33"/>
      <c r="J75" s="33">
        <f>398+398</f>
        <v>796</v>
      </c>
      <c r="K75" s="33">
        <v>207</v>
      </c>
      <c r="L75" s="33"/>
      <c r="M75" s="33">
        <v>397</v>
      </c>
      <c r="N75" s="35">
        <v>0</v>
      </c>
      <c r="O75" s="35"/>
      <c r="P75" s="33">
        <v>0</v>
      </c>
      <c r="Q75" s="29">
        <f>G75+J75+M75+P75</f>
        <v>1591</v>
      </c>
      <c r="R75" s="204"/>
      <c r="S75" s="204"/>
      <c r="Z75" s="225"/>
      <c r="AA75" s="222"/>
      <c r="IQ75" s="22"/>
      <c r="IR75" s="22"/>
      <c r="IS75" s="22"/>
      <c r="IT75" s="22"/>
      <c r="IU75" s="22"/>
    </row>
    <row r="76" spans="2:255" s="14" customFormat="1" ht="18" customHeight="1" hidden="1">
      <c r="B76" s="38" t="s">
        <v>39</v>
      </c>
      <c r="C76" s="23"/>
      <c r="D76" s="33">
        <f>G76+J76+M76+P76</f>
        <v>8365</v>
      </c>
      <c r="E76" s="33">
        <v>2199</v>
      </c>
      <c r="F76" s="33"/>
      <c r="G76" s="33">
        <v>2258</v>
      </c>
      <c r="H76" s="33">
        <v>2975</v>
      </c>
      <c r="I76" s="33"/>
      <c r="J76" s="33">
        <f>2258-J77+2258</f>
        <v>3850</v>
      </c>
      <c r="K76" s="33">
        <v>1352</v>
      </c>
      <c r="L76" s="33"/>
      <c r="M76" s="33">
        <f>2257</f>
        <v>2257</v>
      </c>
      <c r="N76" s="35">
        <v>0</v>
      </c>
      <c r="O76" s="35"/>
      <c r="P76" s="33">
        <v>0</v>
      </c>
      <c r="Q76" s="29">
        <f>G76+J76+M76+P76</f>
        <v>8365</v>
      </c>
      <c r="R76" s="204"/>
      <c r="S76" s="204"/>
      <c r="Z76" s="225"/>
      <c r="AA76" s="222"/>
      <c r="IQ76" s="22"/>
      <c r="IR76" s="22"/>
      <c r="IS76" s="22"/>
      <c r="IT76" s="22"/>
      <c r="IU76" s="22"/>
    </row>
    <row r="77" spans="2:255" s="14" customFormat="1" ht="18" customHeight="1" hidden="1">
      <c r="B77" s="38" t="s">
        <v>40</v>
      </c>
      <c r="C77" s="23"/>
      <c r="D77" s="33">
        <f>G77+J77+M77+P77</f>
        <v>666</v>
      </c>
      <c r="E77" s="33">
        <v>0</v>
      </c>
      <c r="F77" s="33"/>
      <c r="G77" s="33">
        <f>E77+F77</f>
        <v>0</v>
      </c>
      <c r="H77" s="33">
        <v>0</v>
      </c>
      <c r="I77" s="33"/>
      <c r="J77" s="33">
        <v>666</v>
      </c>
      <c r="K77" s="33">
        <v>0</v>
      </c>
      <c r="L77" s="33"/>
      <c r="M77" s="33">
        <f>K77+L77</f>
        <v>0</v>
      </c>
      <c r="N77" s="35">
        <v>0</v>
      </c>
      <c r="O77" s="35"/>
      <c r="P77" s="33">
        <f>N77+O77</f>
        <v>0</v>
      </c>
      <c r="Q77" s="29">
        <f>G77+J77+M77+P77</f>
        <v>666</v>
      </c>
      <c r="R77" s="204"/>
      <c r="S77" s="204"/>
      <c r="Z77" s="225"/>
      <c r="AA77" s="222"/>
      <c r="IQ77" s="22"/>
      <c r="IR77" s="22"/>
      <c r="IS77" s="22"/>
      <c r="IT77" s="22"/>
      <c r="IU77" s="22"/>
    </row>
    <row r="78" spans="2:255" s="14" customFormat="1" ht="30" customHeight="1" hidden="1">
      <c r="B78" s="49" t="s">
        <v>41</v>
      </c>
      <c r="C78" s="23"/>
      <c r="D78" s="33">
        <f>G78+J78+M78+P78</f>
        <v>0</v>
      </c>
      <c r="E78" s="33">
        <v>52</v>
      </c>
      <c r="F78" s="33"/>
      <c r="G78" s="33"/>
      <c r="H78" s="33"/>
      <c r="I78" s="33"/>
      <c r="J78" s="33"/>
      <c r="K78" s="33"/>
      <c r="L78" s="33"/>
      <c r="M78" s="33"/>
      <c r="N78" s="35"/>
      <c r="O78" s="35"/>
      <c r="P78" s="33"/>
      <c r="Q78" s="29"/>
      <c r="R78" s="204"/>
      <c r="S78" s="204"/>
      <c r="Z78" s="225"/>
      <c r="AA78" s="222"/>
      <c r="IQ78" s="22"/>
      <c r="IR78" s="22"/>
      <c r="IS78" s="22"/>
      <c r="IT78" s="22"/>
      <c r="IU78" s="22"/>
    </row>
    <row r="79" spans="1:255" s="14" customFormat="1" ht="34.5" customHeight="1">
      <c r="A79" s="14">
        <v>8</v>
      </c>
      <c r="B79" s="23" t="s">
        <v>33</v>
      </c>
      <c r="C79" s="28" t="s">
        <v>53</v>
      </c>
      <c r="D79" s="29">
        <f>D80+D81+D82</f>
        <v>6137</v>
      </c>
      <c r="E79" s="70">
        <f>E80+E81+E82</f>
        <v>1530</v>
      </c>
      <c r="F79" s="71"/>
      <c r="G79" s="29">
        <f>SUM(G80:G83)</f>
        <v>4393</v>
      </c>
      <c r="H79" s="70">
        <f>H80+H81+H82</f>
        <v>1450</v>
      </c>
      <c r="I79" s="71"/>
      <c r="J79" s="29">
        <f>SUM(J80:J82)</f>
        <v>1744</v>
      </c>
      <c r="K79" s="70">
        <f>K80+K81+K82</f>
        <v>1413</v>
      </c>
      <c r="L79" s="71"/>
      <c r="M79" s="29">
        <v>0</v>
      </c>
      <c r="N79" s="72">
        <f>N80+N81+N82</f>
        <v>1985</v>
      </c>
      <c r="O79" s="73"/>
      <c r="P79" s="29">
        <v>0</v>
      </c>
      <c r="Q79" s="29">
        <f aca="true" t="shared" si="18" ref="Q79:Q110">G79+J79+M79+P79</f>
        <v>6137</v>
      </c>
      <c r="R79" s="206">
        <f>D79-6137</f>
        <v>0</v>
      </c>
      <c r="S79" s="204"/>
      <c r="Z79" s="225">
        <v>0</v>
      </c>
      <c r="AA79" s="226">
        <f>D79+Z79</f>
        <v>6137</v>
      </c>
      <c r="IQ79" s="22"/>
      <c r="IR79" s="22"/>
      <c r="IS79" s="22"/>
      <c r="IT79" s="22"/>
      <c r="IU79" s="22"/>
    </row>
    <row r="80" spans="2:255" s="14" customFormat="1" ht="16.5" customHeight="1">
      <c r="B80" s="43" t="s">
        <v>35</v>
      </c>
      <c r="C80" s="44"/>
      <c r="D80" s="33">
        <f>E80+H80+K80+N80</f>
        <v>659</v>
      </c>
      <c r="E80" s="33">
        <v>229</v>
      </c>
      <c r="F80" s="34"/>
      <c r="G80" s="33">
        <v>659</v>
      </c>
      <c r="H80" s="33">
        <v>218</v>
      </c>
      <c r="I80" s="34"/>
      <c r="J80" s="33">
        <v>0</v>
      </c>
      <c r="K80" s="33">
        <v>212</v>
      </c>
      <c r="L80" s="34"/>
      <c r="M80" s="29">
        <v>0</v>
      </c>
      <c r="N80" s="35">
        <v>0</v>
      </c>
      <c r="O80" s="36"/>
      <c r="P80" s="29">
        <f>N80+O80</f>
        <v>0</v>
      </c>
      <c r="Q80" s="29">
        <f t="shared" si="18"/>
        <v>659</v>
      </c>
      <c r="R80" s="204"/>
      <c r="S80" s="204"/>
      <c r="Z80" s="209">
        <v>0</v>
      </c>
      <c r="AA80" s="130">
        <f>D80+Z80</f>
        <v>659</v>
      </c>
      <c r="IQ80" s="22"/>
      <c r="IR80" s="22"/>
      <c r="IS80" s="22"/>
      <c r="IT80" s="22"/>
      <c r="IU80" s="22"/>
    </row>
    <row r="81" spans="2:255" s="14" customFormat="1" ht="18" customHeight="1">
      <c r="B81" s="43" t="s">
        <v>36</v>
      </c>
      <c r="C81" s="44"/>
      <c r="D81" s="33">
        <f>E81+H81+K81+N81</f>
        <v>3734</v>
      </c>
      <c r="E81" s="33">
        <v>1301</v>
      </c>
      <c r="F81" s="34"/>
      <c r="G81" s="33">
        <v>3734</v>
      </c>
      <c r="H81" s="33">
        <v>1232</v>
      </c>
      <c r="I81" s="34"/>
      <c r="J81" s="33">
        <v>0</v>
      </c>
      <c r="K81" s="33">
        <v>1201</v>
      </c>
      <c r="L81" s="34"/>
      <c r="M81" s="29">
        <v>0</v>
      </c>
      <c r="N81" s="35">
        <v>0</v>
      </c>
      <c r="O81" s="36"/>
      <c r="P81" s="29">
        <f>N81+O81</f>
        <v>0</v>
      </c>
      <c r="Q81" s="29">
        <f t="shared" si="18"/>
        <v>3734</v>
      </c>
      <c r="R81" s="204"/>
      <c r="S81" s="204"/>
      <c r="Z81" s="209">
        <v>0</v>
      </c>
      <c r="AA81" s="130">
        <f>D81+Z81</f>
        <v>3734</v>
      </c>
      <c r="IQ81" s="22"/>
      <c r="IR81" s="22"/>
      <c r="IS81" s="22"/>
      <c r="IT81" s="22"/>
      <c r="IU81" s="22"/>
    </row>
    <row r="82" spans="2:255" s="14" customFormat="1" ht="16.5" customHeight="1">
      <c r="B82" s="43" t="s">
        <v>37</v>
      </c>
      <c r="C82" s="44"/>
      <c r="D82" s="33">
        <f>J82</f>
        <v>1744</v>
      </c>
      <c r="E82" s="33">
        <v>0</v>
      </c>
      <c r="F82" s="34"/>
      <c r="G82" s="33">
        <f>E82+F82</f>
        <v>0</v>
      </c>
      <c r="H82" s="33">
        <v>0</v>
      </c>
      <c r="I82" s="34"/>
      <c r="J82" s="33">
        <v>1744</v>
      </c>
      <c r="K82" s="33">
        <v>0</v>
      </c>
      <c r="L82" s="34"/>
      <c r="M82" s="29">
        <f>K82+L82</f>
        <v>0</v>
      </c>
      <c r="N82" s="35">
        <v>1985</v>
      </c>
      <c r="O82" s="36"/>
      <c r="P82" s="29">
        <v>0</v>
      </c>
      <c r="Q82" s="29">
        <f t="shared" si="18"/>
        <v>1744</v>
      </c>
      <c r="R82" s="204"/>
      <c r="S82" s="204"/>
      <c r="Z82" s="209">
        <v>0</v>
      </c>
      <c r="AA82" s="130">
        <f>D82+Z82</f>
        <v>1744</v>
      </c>
      <c r="IQ82" s="22"/>
      <c r="IR82" s="22"/>
      <c r="IS82" s="22"/>
      <c r="IT82" s="22"/>
      <c r="IU82" s="22"/>
    </row>
    <row r="83" spans="2:255" s="14" customFormat="1" ht="18" customHeight="1" hidden="1">
      <c r="B83" s="43"/>
      <c r="C83" s="44"/>
      <c r="D83" s="33">
        <f>E83+H83+K83+N83</f>
        <v>0</v>
      </c>
      <c r="E83" s="33"/>
      <c r="F83" s="34"/>
      <c r="G83" s="33">
        <f>E83+F83</f>
        <v>0</v>
      </c>
      <c r="H83" s="33"/>
      <c r="I83" s="34"/>
      <c r="J83" s="33">
        <f>H83+I83</f>
        <v>0</v>
      </c>
      <c r="K83" s="33"/>
      <c r="L83" s="34"/>
      <c r="M83" s="29">
        <f>K83+L83</f>
        <v>0</v>
      </c>
      <c r="N83" s="35"/>
      <c r="O83" s="36"/>
      <c r="P83" s="29">
        <f>N83+O83</f>
        <v>0</v>
      </c>
      <c r="Q83" s="29">
        <f t="shared" si="18"/>
        <v>0</v>
      </c>
      <c r="R83" s="204"/>
      <c r="S83" s="204"/>
      <c r="Z83" s="225"/>
      <c r="AA83" s="222"/>
      <c r="IQ83" s="22"/>
      <c r="IR83" s="22"/>
      <c r="IS83" s="22"/>
      <c r="IT83" s="22"/>
      <c r="IU83" s="22"/>
    </row>
    <row r="84" spans="2:255" s="14" customFormat="1" ht="18" customHeight="1" hidden="1">
      <c r="B84" s="43"/>
      <c r="C84" s="44" t="s">
        <v>51</v>
      </c>
      <c r="D84" s="29">
        <f>G84+J84</f>
        <v>6137</v>
      </c>
      <c r="E84" s="29">
        <f>E85+E86+E87+E88</f>
        <v>1530</v>
      </c>
      <c r="F84" s="30"/>
      <c r="G84" s="29">
        <f>SUM(G85:G88)</f>
        <v>4393</v>
      </c>
      <c r="H84" s="29">
        <f>H85+H86+H87+H88</f>
        <v>1450</v>
      </c>
      <c r="I84" s="30"/>
      <c r="J84" s="29">
        <f>J85+J86+J87+J88</f>
        <v>1744</v>
      </c>
      <c r="K84" s="29">
        <f>K85+K86+K87+K88</f>
        <v>1413</v>
      </c>
      <c r="L84" s="30"/>
      <c r="M84" s="29"/>
      <c r="N84" s="75"/>
      <c r="O84" s="76"/>
      <c r="P84" s="29"/>
      <c r="Q84" s="29">
        <f t="shared" si="18"/>
        <v>6137</v>
      </c>
      <c r="R84" s="204"/>
      <c r="S84" s="204"/>
      <c r="Z84" s="225"/>
      <c r="AA84" s="222"/>
      <c r="IQ84" s="22"/>
      <c r="IR84" s="22"/>
      <c r="IS84" s="22"/>
      <c r="IT84" s="22"/>
      <c r="IU84" s="22"/>
    </row>
    <row r="85" spans="2:255" s="14" customFormat="1" ht="18" customHeight="1" hidden="1">
      <c r="B85" s="38" t="s">
        <v>38</v>
      </c>
      <c r="C85" s="65"/>
      <c r="D85" s="33">
        <f>G85</f>
        <v>571</v>
      </c>
      <c r="E85" s="33">
        <v>199</v>
      </c>
      <c r="F85" s="34"/>
      <c r="G85" s="29">
        <f>4393-3734-88</f>
        <v>571</v>
      </c>
      <c r="H85" s="33">
        <v>188</v>
      </c>
      <c r="I85" s="34"/>
      <c r="J85" s="29"/>
      <c r="K85" s="33">
        <v>184</v>
      </c>
      <c r="L85" s="34"/>
      <c r="M85" s="29"/>
      <c r="N85" s="35"/>
      <c r="O85" s="36"/>
      <c r="P85" s="29"/>
      <c r="Q85" s="29">
        <f t="shared" si="18"/>
        <v>571</v>
      </c>
      <c r="R85" s="204"/>
      <c r="S85" s="204"/>
      <c r="Z85" s="225"/>
      <c r="AA85" s="222"/>
      <c r="IQ85" s="22"/>
      <c r="IR85" s="22"/>
      <c r="IS85" s="22"/>
      <c r="IT85" s="22"/>
      <c r="IU85" s="22"/>
    </row>
    <row r="86" spans="2:255" s="14" customFormat="1" ht="18" customHeight="1" hidden="1">
      <c r="B86" s="38" t="s">
        <v>39</v>
      </c>
      <c r="C86" s="65"/>
      <c r="D86" s="33">
        <f>G86</f>
        <v>3734</v>
      </c>
      <c r="E86" s="33">
        <v>1301</v>
      </c>
      <c r="F86" s="34"/>
      <c r="G86" s="29">
        <f>G81</f>
        <v>3734</v>
      </c>
      <c r="H86" s="33">
        <v>1232</v>
      </c>
      <c r="I86" s="34"/>
      <c r="J86" s="29"/>
      <c r="K86" s="33">
        <v>1201</v>
      </c>
      <c r="L86" s="34"/>
      <c r="M86" s="29"/>
      <c r="N86" s="35"/>
      <c r="O86" s="36"/>
      <c r="P86" s="29"/>
      <c r="Q86" s="29">
        <f t="shared" si="18"/>
        <v>3734</v>
      </c>
      <c r="R86" s="204"/>
      <c r="S86" s="204"/>
      <c r="Z86" s="225"/>
      <c r="AA86" s="222"/>
      <c r="IQ86" s="22"/>
      <c r="IR86" s="22"/>
      <c r="IS86" s="22"/>
      <c r="IT86" s="22"/>
      <c r="IU86" s="22"/>
    </row>
    <row r="87" spans="2:255" s="14" customFormat="1" ht="18" customHeight="1" hidden="1">
      <c r="B87" s="38" t="s">
        <v>40</v>
      </c>
      <c r="C87" s="65"/>
      <c r="D87" s="33">
        <f>E87+H87+K87+N87</f>
        <v>0</v>
      </c>
      <c r="E87" s="33">
        <v>0</v>
      </c>
      <c r="F87" s="34"/>
      <c r="G87" s="29">
        <f>E87+F87</f>
        <v>0</v>
      </c>
      <c r="H87" s="33">
        <v>0</v>
      </c>
      <c r="I87" s="34"/>
      <c r="J87" s="29">
        <f>H87+I87</f>
        <v>0</v>
      </c>
      <c r="K87" s="33">
        <v>0</v>
      </c>
      <c r="L87" s="34"/>
      <c r="M87" s="29"/>
      <c r="N87" s="35"/>
      <c r="O87" s="36"/>
      <c r="P87" s="29"/>
      <c r="Q87" s="29">
        <f t="shared" si="18"/>
        <v>0</v>
      </c>
      <c r="R87" s="204"/>
      <c r="S87" s="204"/>
      <c r="Z87" s="225"/>
      <c r="AA87" s="222"/>
      <c r="IQ87" s="22"/>
      <c r="IR87" s="22"/>
      <c r="IS87" s="22"/>
      <c r="IT87" s="22"/>
      <c r="IU87" s="22"/>
    </row>
    <row r="88" spans="2:255" s="14" customFormat="1" ht="30" hidden="1">
      <c r="B88" s="49" t="s">
        <v>41</v>
      </c>
      <c r="C88" s="23"/>
      <c r="D88" s="33">
        <f>G88+J88</f>
        <v>1832</v>
      </c>
      <c r="E88" s="33">
        <f>E80-E85</f>
        <v>30</v>
      </c>
      <c r="F88" s="34"/>
      <c r="G88" s="29">
        <v>88</v>
      </c>
      <c r="H88" s="33">
        <f>H80-H85</f>
        <v>30</v>
      </c>
      <c r="I88" s="34"/>
      <c r="J88" s="29">
        <f>J82</f>
        <v>1744</v>
      </c>
      <c r="K88" s="33">
        <f>K80-K85</f>
        <v>28</v>
      </c>
      <c r="L88" s="34"/>
      <c r="M88" s="29"/>
      <c r="N88" s="35"/>
      <c r="O88" s="36"/>
      <c r="P88" s="29"/>
      <c r="Q88" s="29">
        <f t="shared" si="18"/>
        <v>1832</v>
      </c>
      <c r="R88" s="204"/>
      <c r="S88" s="204"/>
      <c r="Z88" s="225"/>
      <c r="AA88" s="222"/>
      <c r="IQ88" s="22"/>
      <c r="IR88" s="22"/>
      <c r="IS88" s="22"/>
      <c r="IT88" s="22"/>
      <c r="IU88" s="22"/>
    </row>
    <row r="89" spans="1:255" s="14" customFormat="1" ht="33" customHeight="1">
      <c r="A89" s="14">
        <v>9</v>
      </c>
      <c r="B89" s="23" t="s">
        <v>33</v>
      </c>
      <c r="C89" s="28" t="s">
        <v>54</v>
      </c>
      <c r="D89" s="29">
        <f aca="true" t="shared" si="19" ref="D89:D98">G89+J89+M89+P89</f>
        <v>5957</v>
      </c>
      <c r="E89" s="70">
        <f>E90+E91++E92</f>
        <v>1700</v>
      </c>
      <c r="F89" s="71"/>
      <c r="G89" s="29">
        <f aca="true" t="shared" si="20" ref="G89:P89">G90+G91+G92</f>
        <v>3700</v>
      </c>
      <c r="H89" s="29">
        <f t="shared" si="20"/>
        <v>2120</v>
      </c>
      <c r="I89" s="29">
        <f t="shared" si="20"/>
        <v>0</v>
      </c>
      <c r="J89" s="29">
        <f t="shared" si="20"/>
        <v>2000</v>
      </c>
      <c r="K89" s="29">
        <f t="shared" si="20"/>
        <v>0</v>
      </c>
      <c r="L89" s="29">
        <f t="shared" si="20"/>
        <v>0</v>
      </c>
      <c r="M89" s="29">
        <f t="shared" si="20"/>
        <v>257</v>
      </c>
      <c r="N89" s="29">
        <f t="shared" si="20"/>
        <v>0</v>
      </c>
      <c r="O89" s="29">
        <f t="shared" si="20"/>
        <v>0</v>
      </c>
      <c r="P89" s="29">
        <f t="shared" si="20"/>
        <v>0</v>
      </c>
      <c r="Q89" s="29">
        <f t="shared" si="18"/>
        <v>5957</v>
      </c>
      <c r="R89" s="204"/>
      <c r="S89" s="204"/>
      <c r="Z89" s="225">
        <v>0</v>
      </c>
      <c r="AA89" s="226">
        <f>D89+Z89</f>
        <v>5957</v>
      </c>
      <c r="IQ89" s="22"/>
      <c r="IR89" s="22"/>
      <c r="IS89" s="22"/>
      <c r="IT89" s="22"/>
      <c r="IU89" s="22"/>
    </row>
    <row r="90" spans="2:255" s="14" customFormat="1" ht="18" customHeight="1">
      <c r="B90" s="43" t="s">
        <v>35</v>
      </c>
      <c r="C90" s="44"/>
      <c r="D90" s="33">
        <f t="shared" si="19"/>
        <v>894</v>
      </c>
      <c r="E90" s="33">
        <v>255</v>
      </c>
      <c r="F90" s="34"/>
      <c r="G90" s="29">
        <v>555</v>
      </c>
      <c r="H90" s="33">
        <v>317</v>
      </c>
      <c r="I90" s="34"/>
      <c r="J90" s="29">
        <v>300</v>
      </c>
      <c r="K90" s="33"/>
      <c r="L90" s="34"/>
      <c r="M90" s="29">
        <v>39</v>
      </c>
      <c r="N90" s="35">
        <v>0</v>
      </c>
      <c r="O90" s="36"/>
      <c r="P90" s="29">
        <f>N90+O90</f>
        <v>0</v>
      </c>
      <c r="Q90" s="29">
        <f t="shared" si="18"/>
        <v>894</v>
      </c>
      <c r="R90" s="204"/>
      <c r="S90" s="204"/>
      <c r="Z90" s="209">
        <v>0</v>
      </c>
      <c r="AA90" s="130">
        <f>D90+Z90</f>
        <v>894</v>
      </c>
      <c r="IQ90" s="22"/>
      <c r="IR90" s="22"/>
      <c r="IS90" s="22"/>
      <c r="IT90" s="22"/>
      <c r="IU90" s="22"/>
    </row>
    <row r="91" spans="2:255" s="14" customFormat="1" ht="15.75" customHeight="1">
      <c r="B91" s="38" t="s">
        <v>36</v>
      </c>
      <c r="C91" s="46"/>
      <c r="D91" s="33">
        <f t="shared" si="19"/>
        <v>5063</v>
      </c>
      <c r="E91" s="33">
        <v>1445</v>
      </c>
      <c r="F91" s="34"/>
      <c r="G91" s="29">
        <v>3145</v>
      </c>
      <c r="H91" s="33">
        <v>1803</v>
      </c>
      <c r="I91" s="34"/>
      <c r="J91" s="29">
        <v>1700</v>
      </c>
      <c r="K91" s="33"/>
      <c r="L91" s="34"/>
      <c r="M91" s="29">
        <v>218</v>
      </c>
      <c r="N91" s="35">
        <v>0</v>
      </c>
      <c r="O91" s="36"/>
      <c r="P91" s="29">
        <f>N91+O91</f>
        <v>0</v>
      </c>
      <c r="Q91" s="29">
        <f t="shared" si="18"/>
        <v>5063</v>
      </c>
      <c r="R91" s="204"/>
      <c r="S91" s="204"/>
      <c r="Z91" s="209">
        <v>0</v>
      </c>
      <c r="AA91" s="130">
        <f>D91+Z91</f>
        <v>5063</v>
      </c>
      <c r="IQ91" s="22"/>
      <c r="IR91" s="22"/>
      <c r="IS91" s="22"/>
      <c r="IT91" s="22"/>
      <c r="IU91" s="22"/>
    </row>
    <row r="92" spans="2:255" s="14" customFormat="1" ht="16.5" customHeight="1">
      <c r="B92" s="38" t="s">
        <v>37</v>
      </c>
      <c r="C92" s="47"/>
      <c r="D92" s="33">
        <f t="shared" si="19"/>
        <v>0</v>
      </c>
      <c r="E92" s="33">
        <v>0</v>
      </c>
      <c r="F92" s="34"/>
      <c r="G92" s="29">
        <f>E92+F92</f>
        <v>0</v>
      </c>
      <c r="H92" s="33">
        <v>0</v>
      </c>
      <c r="I92" s="34"/>
      <c r="J92" s="29"/>
      <c r="K92" s="33"/>
      <c r="L92" s="34"/>
      <c r="M92" s="29"/>
      <c r="N92" s="35">
        <v>0</v>
      </c>
      <c r="O92" s="36"/>
      <c r="P92" s="29">
        <f>N92+O92</f>
        <v>0</v>
      </c>
      <c r="Q92" s="29">
        <f t="shared" si="18"/>
        <v>0</v>
      </c>
      <c r="R92" s="204"/>
      <c r="S92" s="204"/>
      <c r="Z92" s="209">
        <v>0</v>
      </c>
      <c r="AA92" s="130">
        <f>D92+Z92</f>
        <v>0</v>
      </c>
      <c r="IQ92" s="22"/>
      <c r="IR92" s="22"/>
      <c r="IS92" s="22"/>
      <c r="IT92" s="22"/>
      <c r="IU92" s="22"/>
    </row>
    <row r="93" spans="2:255" s="14" customFormat="1" ht="18" customHeight="1" hidden="1">
      <c r="B93" s="38"/>
      <c r="C93" s="23"/>
      <c r="D93" s="33">
        <f t="shared" si="19"/>
        <v>0</v>
      </c>
      <c r="E93" s="33"/>
      <c r="F93" s="34"/>
      <c r="G93" s="29">
        <f>E93+F93</f>
        <v>0</v>
      </c>
      <c r="H93" s="33"/>
      <c r="I93" s="34"/>
      <c r="J93" s="29">
        <f>H93+I93</f>
        <v>0</v>
      </c>
      <c r="K93" s="33"/>
      <c r="L93" s="34"/>
      <c r="M93" s="29">
        <f>K93+L93</f>
        <v>0</v>
      </c>
      <c r="N93" s="35"/>
      <c r="O93" s="36"/>
      <c r="P93" s="29">
        <f>N93+O93</f>
        <v>0</v>
      </c>
      <c r="Q93" s="29">
        <f t="shared" si="18"/>
        <v>0</v>
      </c>
      <c r="R93" s="204"/>
      <c r="S93" s="204"/>
      <c r="Z93" s="225"/>
      <c r="AA93" s="222"/>
      <c r="IQ93" s="22"/>
      <c r="IR93" s="22"/>
      <c r="IS93" s="22"/>
      <c r="IT93" s="22"/>
      <c r="IU93" s="22"/>
    </row>
    <row r="94" spans="2:255" s="14" customFormat="1" ht="18" customHeight="1" hidden="1">
      <c r="B94" s="39"/>
      <c r="C94" s="23"/>
      <c r="D94" s="29">
        <f t="shared" si="19"/>
        <v>5957</v>
      </c>
      <c r="E94" s="29">
        <f>E95+E96+E97+E98</f>
        <v>1700</v>
      </c>
      <c r="F94" s="30"/>
      <c r="G94" s="29">
        <f aca="true" t="shared" si="21" ref="G94:P94">G95+G96+G97+G98</f>
        <v>3700</v>
      </c>
      <c r="H94" s="29">
        <f t="shared" si="21"/>
        <v>2120</v>
      </c>
      <c r="I94" s="29">
        <f t="shared" si="21"/>
        <v>0</v>
      </c>
      <c r="J94" s="29">
        <f t="shared" si="21"/>
        <v>2000</v>
      </c>
      <c r="K94" s="29">
        <f t="shared" si="21"/>
        <v>0</v>
      </c>
      <c r="L94" s="29">
        <f t="shared" si="21"/>
        <v>0</v>
      </c>
      <c r="M94" s="29">
        <f t="shared" si="21"/>
        <v>257</v>
      </c>
      <c r="N94" s="29">
        <f t="shared" si="21"/>
        <v>0</v>
      </c>
      <c r="O94" s="29">
        <f t="shared" si="21"/>
        <v>0</v>
      </c>
      <c r="P94" s="29">
        <f t="shared" si="21"/>
        <v>0</v>
      </c>
      <c r="Q94" s="29">
        <f t="shared" si="18"/>
        <v>5957</v>
      </c>
      <c r="R94" s="204"/>
      <c r="S94" s="204"/>
      <c r="Z94" s="225"/>
      <c r="AA94" s="222"/>
      <c r="IQ94" s="22"/>
      <c r="IR94" s="22"/>
      <c r="IS94" s="22"/>
      <c r="IT94" s="22"/>
      <c r="IU94" s="22"/>
    </row>
    <row r="95" spans="2:255" s="14" customFormat="1" ht="18" customHeight="1" hidden="1">
      <c r="B95" s="38" t="s">
        <v>38</v>
      </c>
      <c r="C95" s="23"/>
      <c r="D95" s="33">
        <f t="shared" si="19"/>
        <v>761</v>
      </c>
      <c r="E95" s="33">
        <v>221</v>
      </c>
      <c r="F95" s="34"/>
      <c r="G95" s="33">
        <f>G89-G96-G98</f>
        <v>481</v>
      </c>
      <c r="H95" s="33">
        <f>H89-H96-H98</f>
        <v>275</v>
      </c>
      <c r="I95" s="33">
        <f>I89-I96-I98</f>
        <v>0</v>
      </c>
      <c r="J95" s="33">
        <f>J89-J96-J98-J97</f>
        <v>246</v>
      </c>
      <c r="K95" s="33">
        <f aca="true" t="shared" si="22" ref="K95:P95">K89-K96-K98</f>
        <v>-2593</v>
      </c>
      <c r="L95" s="33">
        <f t="shared" si="22"/>
        <v>0</v>
      </c>
      <c r="M95" s="33">
        <f t="shared" si="22"/>
        <v>34</v>
      </c>
      <c r="N95" s="33">
        <f t="shared" si="22"/>
        <v>0</v>
      </c>
      <c r="O95" s="33">
        <f t="shared" si="22"/>
        <v>0</v>
      </c>
      <c r="P95" s="33">
        <f t="shared" si="22"/>
        <v>0</v>
      </c>
      <c r="Q95" s="29">
        <f t="shared" si="18"/>
        <v>761</v>
      </c>
      <c r="R95" s="204"/>
      <c r="S95" s="204"/>
      <c r="Z95" s="225"/>
      <c r="AA95" s="222"/>
      <c r="IQ95" s="22"/>
      <c r="IR95" s="22"/>
      <c r="IS95" s="22"/>
      <c r="IT95" s="22"/>
      <c r="IU95" s="22"/>
    </row>
    <row r="96" spans="2:255" s="14" customFormat="1" ht="18" customHeight="1" hidden="1">
      <c r="B96" s="38" t="s">
        <v>39</v>
      </c>
      <c r="C96" s="23"/>
      <c r="D96" s="33">
        <f t="shared" si="19"/>
        <v>4351</v>
      </c>
      <c r="E96" s="33">
        <v>1445</v>
      </c>
      <c r="F96" s="34"/>
      <c r="G96" s="33">
        <v>3145</v>
      </c>
      <c r="H96" s="33">
        <v>1803</v>
      </c>
      <c r="I96" s="34"/>
      <c r="J96" s="33">
        <f>1700-712</f>
        <v>988</v>
      </c>
      <c r="K96" s="33">
        <v>0</v>
      </c>
      <c r="L96" s="34"/>
      <c r="M96" s="33">
        <v>218</v>
      </c>
      <c r="N96" s="35">
        <v>0</v>
      </c>
      <c r="O96" s="36"/>
      <c r="P96" s="33">
        <f>N96+O96</f>
        <v>0</v>
      </c>
      <c r="Q96" s="29">
        <f t="shared" si="18"/>
        <v>4351</v>
      </c>
      <c r="R96" s="204"/>
      <c r="S96" s="204"/>
      <c r="Z96" s="225"/>
      <c r="AA96" s="222"/>
      <c r="IQ96" s="22"/>
      <c r="IR96" s="22"/>
      <c r="IS96" s="22"/>
      <c r="IT96" s="22"/>
      <c r="IU96" s="22"/>
    </row>
    <row r="97" spans="2:255" s="14" customFormat="1" ht="18" customHeight="1" hidden="1">
      <c r="B97" s="38" t="s">
        <v>40</v>
      </c>
      <c r="C97" s="23"/>
      <c r="D97" s="33">
        <f t="shared" si="19"/>
        <v>712</v>
      </c>
      <c r="E97" s="33">
        <v>0</v>
      </c>
      <c r="F97" s="34"/>
      <c r="G97" s="33">
        <f>E97+F97</f>
        <v>0</v>
      </c>
      <c r="H97" s="33">
        <v>0</v>
      </c>
      <c r="I97" s="34"/>
      <c r="J97" s="33">
        <v>712</v>
      </c>
      <c r="K97" s="33">
        <v>0</v>
      </c>
      <c r="L97" s="34"/>
      <c r="M97" s="33">
        <f>K97+L97</f>
        <v>0</v>
      </c>
      <c r="N97" s="35">
        <v>0</v>
      </c>
      <c r="O97" s="36"/>
      <c r="P97" s="33">
        <f>N97+O97</f>
        <v>0</v>
      </c>
      <c r="Q97" s="29">
        <f t="shared" si="18"/>
        <v>712</v>
      </c>
      <c r="R97" s="204"/>
      <c r="S97" s="204"/>
      <c r="Z97" s="225"/>
      <c r="AA97" s="222"/>
      <c r="IQ97" s="22"/>
      <c r="IR97" s="22"/>
      <c r="IS97" s="22"/>
      <c r="IT97" s="22"/>
      <c r="IU97" s="22"/>
    </row>
    <row r="98" spans="2:255" s="14" customFormat="1" ht="30" hidden="1">
      <c r="B98" s="49" t="s">
        <v>41</v>
      </c>
      <c r="C98" s="23"/>
      <c r="D98" s="33">
        <f t="shared" si="19"/>
        <v>133</v>
      </c>
      <c r="E98" s="33">
        <v>34</v>
      </c>
      <c r="F98" s="34"/>
      <c r="G98" s="33">
        <v>74</v>
      </c>
      <c r="H98" s="33">
        <v>42</v>
      </c>
      <c r="I98" s="34"/>
      <c r="J98" s="33">
        <v>54</v>
      </c>
      <c r="K98" s="33">
        <v>2593</v>
      </c>
      <c r="L98" s="34"/>
      <c r="M98" s="33">
        <v>5</v>
      </c>
      <c r="N98" s="35">
        <v>0</v>
      </c>
      <c r="O98" s="36"/>
      <c r="P98" s="33">
        <f>N98+O98</f>
        <v>0</v>
      </c>
      <c r="Q98" s="29">
        <f t="shared" si="18"/>
        <v>133</v>
      </c>
      <c r="R98" s="204"/>
      <c r="S98" s="204"/>
      <c r="Z98" s="225"/>
      <c r="AA98" s="222"/>
      <c r="IQ98" s="22"/>
      <c r="IR98" s="22"/>
      <c r="IS98" s="22"/>
      <c r="IT98" s="22"/>
      <c r="IU98" s="22"/>
    </row>
    <row r="99" spans="1:255" s="77" customFormat="1" ht="34.5" customHeight="1">
      <c r="A99" s="77">
        <v>10</v>
      </c>
      <c r="B99" s="78" t="s">
        <v>55</v>
      </c>
      <c r="C99" s="23" t="s">
        <v>56</v>
      </c>
      <c r="D99" s="41">
        <f aca="true" t="shared" si="23" ref="D99:P99">D100+D101+D102</f>
        <v>6253</v>
      </c>
      <c r="E99" s="41">
        <f t="shared" si="23"/>
        <v>3573</v>
      </c>
      <c r="F99" s="41">
        <f t="shared" si="23"/>
        <v>0</v>
      </c>
      <c r="G99" s="41">
        <f t="shared" si="23"/>
        <v>3100</v>
      </c>
      <c r="H99" s="41">
        <f t="shared" si="23"/>
        <v>0</v>
      </c>
      <c r="I99" s="41">
        <f t="shared" si="23"/>
        <v>0</v>
      </c>
      <c r="J99" s="41">
        <f t="shared" si="23"/>
        <v>3153</v>
      </c>
      <c r="K99" s="41">
        <f t="shared" si="23"/>
        <v>0</v>
      </c>
      <c r="L99" s="41">
        <f t="shared" si="23"/>
        <v>0</v>
      </c>
      <c r="M99" s="41">
        <f t="shared" si="23"/>
        <v>0</v>
      </c>
      <c r="N99" s="41">
        <f t="shared" si="23"/>
        <v>0</v>
      </c>
      <c r="O99" s="41">
        <f t="shared" si="23"/>
        <v>0</v>
      </c>
      <c r="P99" s="41">
        <f t="shared" si="23"/>
        <v>0</v>
      </c>
      <c r="Q99" s="29">
        <f t="shared" si="18"/>
        <v>6253</v>
      </c>
      <c r="R99" s="207">
        <f>R100+R102</f>
        <v>8</v>
      </c>
      <c r="S99" s="207">
        <f>S100+S102</f>
        <v>0</v>
      </c>
      <c r="T99" s="79">
        <f>T100+T102</f>
        <v>2001</v>
      </c>
      <c r="Z99" s="223">
        <v>0</v>
      </c>
      <c r="AA99" s="226">
        <f>D99+Z99</f>
        <v>6253</v>
      </c>
      <c r="IQ99" s="80"/>
      <c r="IR99" s="80"/>
      <c r="IS99" s="80"/>
      <c r="IT99" s="80"/>
      <c r="IU99" s="80"/>
    </row>
    <row r="100" spans="2:255" s="77" customFormat="1" ht="16.5" customHeight="1">
      <c r="B100" s="43" t="s">
        <v>35</v>
      </c>
      <c r="C100" s="81"/>
      <c r="D100" s="82">
        <f>G100+J100+M100+P100</f>
        <v>921</v>
      </c>
      <c r="E100" s="82">
        <v>526</v>
      </c>
      <c r="F100" s="83"/>
      <c r="G100" s="29">
        <v>448</v>
      </c>
      <c r="H100" s="82"/>
      <c r="I100" s="83"/>
      <c r="J100" s="29">
        <v>473</v>
      </c>
      <c r="K100" s="82"/>
      <c r="L100" s="83"/>
      <c r="M100" s="29"/>
      <c r="N100" s="82"/>
      <c r="O100" s="83"/>
      <c r="P100" s="29"/>
      <c r="Q100" s="29">
        <f t="shared" si="18"/>
        <v>921</v>
      </c>
      <c r="R100" s="243">
        <v>8</v>
      </c>
      <c r="S100" s="244">
        <v>0</v>
      </c>
      <c r="T100" s="245">
        <v>1994</v>
      </c>
      <c r="U100" s="84"/>
      <c r="Z100" s="209">
        <v>0</v>
      </c>
      <c r="AA100" s="130">
        <f>D100+Z100</f>
        <v>921</v>
      </c>
      <c r="IQ100" s="80"/>
      <c r="IR100" s="80"/>
      <c r="IS100" s="80"/>
      <c r="IT100" s="80"/>
      <c r="IU100" s="80"/>
    </row>
    <row r="101" spans="2:255" s="77" customFormat="1" ht="16.5" customHeight="1">
      <c r="B101" s="38" t="s">
        <v>36</v>
      </c>
      <c r="C101" s="85"/>
      <c r="D101" s="82">
        <f>G101+J101+M101+P101</f>
        <v>5332</v>
      </c>
      <c r="E101" s="82">
        <f>2987+60</f>
        <v>3047</v>
      </c>
      <c r="F101" s="83"/>
      <c r="G101" s="29">
        <v>2652</v>
      </c>
      <c r="H101" s="82"/>
      <c r="I101" s="83"/>
      <c r="J101" s="29">
        <v>2680</v>
      </c>
      <c r="K101" s="82"/>
      <c r="L101" s="83"/>
      <c r="M101" s="29"/>
      <c r="N101" s="82"/>
      <c r="O101" s="83"/>
      <c r="P101" s="29"/>
      <c r="Q101" s="29">
        <f t="shared" si="18"/>
        <v>5332</v>
      </c>
      <c r="R101" s="243"/>
      <c r="S101" s="243"/>
      <c r="T101" s="245"/>
      <c r="Z101" s="209">
        <v>0</v>
      </c>
      <c r="AA101" s="130">
        <f>D101+Z101</f>
        <v>5332</v>
      </c>
      <c r="IQ101" s="80"/>
      <c r="IR101" s="80"/>
      <c r="IS101" s="80"/>
      <c r="IT101" s="80"/>
      <c r="IU101" s="80"/>
    </row>
    <row r="102" spans="2:255" s="77" customFormat="1" ht="15.75" customHeight="1">
      <c r="B102" s="38" t="s">
        <v>37</v>
      </c>
      <c r="C102" s="86"/>
      <c r="D102" s="82">
        <f>G102+J102+M102+P102</f>
        <v>0</v>
      </c>
      <c r="E102" s="82">
        <v>0</v>
      </c>
      <c r="F102" s="83"/>
      <c r="G102" s="29"/>
      <c r="H102" s="82"/>
      <c r="I102" s="83"/>
      <c r="J102" s="29"/>
      <c r="K102" s="82"/>
      <c r="L102" s="83"/>
      <c r="M102" s="29"/>
      <c r="N102" s="82"/>
      <c r="O102" s="83"/>
      <c r="P102" s="29"/>
      <c r="Q102" s="29">
        <f t="shared" si="18"/>
        <v>0</v>
      </c>
      <c r="R102" s="207"/>
      <c r="S102" s="207">
        <v>0</v>
      </c>
      <c r="T102" s="77">
        <v>7</v>
      </c>
      <c r="Z102" s="209">
        <v>0</v>
      </c>
      <c r="AA102" s="130">
        <f>D102+Z102</f>
        <v>0</v>
      </c>
      <c r="IQ102" s="80"/>
      <c r="IR102" s="80"/>
      <c r="IS102" s="80"/>
      <c r="IT102" s="80"/>
      <c r="IU102" s="80"/>
    </row>
    <row r="103" spans="2:255" s="77" customFormat="1" ht="16.5" customHeight="1" hidden="1">
      <c r="B103" s="38"/>
      <c r="C103" s="65"/>
      <c r="D103" s="82"/>
      <c r="E103" s="82"/>
      <c r="F103" s="83"/>
      <c r="G103" s="29">
        <f>E103+F103</f>
        <v>0</v>
      </c>
      <c r="H103" s="82"/>
      <c r="I103" s="83"/>
      <c r="J103" s="29">
        <f>H103+I103</f>
        <v>0</v>
      </c>
      <c r="K103" s="82"/>
      <c r="L103" s="83"/>
      <c r="M103" s="29">
        <f>K103+L103</f>
        <v>0</v>
      </c>
      <c r="N103" s="82"/>
      <c r="O103" s="83"/>
      <c r="P103" s="29">
        <f>N103+O103</f>
        <v>0</v>
      </c>
      <c r="Q103" s="29">
        <f t="shared" si="18"/>
        <v>0</v>
      </c>
      <c r="R103" s="210"/>
      <c r="S103" s="210"/>
      <c r="Z103" s="209"/>
      <c r="AA103" s="209"/>
      <c r="IQ103" s="80"/>
      <c r="IR103" s="80"/>
      <c r="IS103" s="80"/>
      <c r="IT103" s="80"/>
      <c r="IU103" s="80"/>
    </row>
    <row r="104" spans="2:255" s="87" customFormat="1" ht="16.5" customHeight="1" hidden="1">
      <c r="B104" s="39"/>
      <c r="C104" s="28"/>
      <c r="D104" s="88">
        <f>G104+J104+M104+P104</f>
        <v>6253</v>
      </c>
      <c r="E104" s="88">
        <f>E105+E106+E107+E109+E108</f>
        <v>3573</v>
      </c>
      <c r="F104" s="89"/>
      <c r="G104" s="29">
        <f aca="true" t="shared" si="24" ref="G104:P104">G105+G106+G107+G108+G109</f>
        <v>3100</v>
      </c>
      <c r="H104" s="29">
        <f t="shared" si="24"/>
        <v>0</v>
      </c>
      <c r="I104" s="29">
        <f t="shared" si="24"/>
        <v>0</v>
      </c>
      <c r="J104" s="29">
        <f t="shared" si="24"/>
        <v>3153</v>
      </c>
      <c r="K104" s="29">
        <f t="shared" si="24"/>
        <v>0</v>
      </c>
      <c r="L104" s="29">
        <f t="shared" si="24"/>
        <v>0</v>
      </c>
      <c r="M104" s="29">
        <f t="shared" si="24"/>
        <v>0</v>
      </c>
      <c r="N104" s="29">
        <f t="shared" si="24"/>
        <v>0</v>
      </c>
      <c r="O104" s="29">
        <f t="shared" si="24"/>
        <v>0</v>
      </c>
      <c r="P104" s="29">
        <f t="shared" si="24"/>
        <v>0</v>
      </c>
      <c r="Q104" s="29">
        <f t="shared" si="18"/>
        <v>6253</v>
      </c>
      <c r="R104" s="211"/>
      <c r="S104" s="211"/>
      <c r="Z104" s="223"/>
      <c r="AA104" s="223"/>
      <c r="IQ104" s="90"/>
      <c r="IR104" s="90"/>
      <c r="IS104" s="90"/>
      <c r="IT104" s="90"/>
      <c r="IU104" s="90"/>
    </row>
    <row r="105" spans="2:255" s="77" customFormat="1" ht="16.5" customHeight="1" hidden="1">
      <c r="B105" s="38" t="s">
        <v>38</v>
      </c>
      <c r="C105" s="65"/>
      <c r="D105" s="91">
        <f>G105+J105+M105+P105</f>
        <v>921</v>
      </c>
      <c r="E105" s="91">
        <f>0</f>
        <v>0</v>
      </c>
      <c r="F105" s="92"/>
      <c r="G105" s="29">
        <v>448</v>
      </c>
      <c r="H105" s="91">
        <f>H99-H106-H109</f>
        <v>-1172</v>
      </c>
      <c r="I105" s="92"/>
      <c r="J105" s="29">
        <f>473+284-284</f>
        <v>473</v>
      </c>
      <c r="K105" s="91">
        <f>K99-K106-K109</f>
        <v>-44</v>
      </c>
      <c r="L105" s="92"/>
      <c r="M105" s="29">
        <v>0</v>
      </c>
      <c r="N105" s="91">
        <f>N99-N106-N109</f>
        <v>-21</v>
      </c>
      <c r="O105" s="92"/>
      <c r="P105" s="29">
        <v>0</v>
      </c>
      <c r="Q105" s="29">
        <f t="shared" si="18"/>
        <v>921</v>
      </c>
      <c r="R105" s="210"/>
      <c r="S105" s="210"/>
      <c r="Z105" s="209"/>
      <c r="AA105" s="209"/>
      <c r="IQ105" s="80"/>
      <c r="IR105" s="80"/>
      <c r="IS105" s="80"/>
      <c r="IT105" s="80"/>
      <c r="IU105" s="80"/>
    </row>
    <row r="106" spans="2:255" s="77" customFormat="1" ht="16.5" customHeight="1" hidden="1">
      <c r="B106" s="38" t="s">
        <v>39</v>
      </c>
      <c r="C106" s="65"/>
      <c r="D106" s="91">
        <v>5332</v>
      </c>
      <c r="E106" s="91">
        <v>0</v>
      </c>
      <c r="F106" s="92"/>
      <c r="G106" s="29">
        <f>2652-981</f>
        <v>1671</v>
      </c>
      <c r="H106" s="91">
        <v>1117</v>
      </c>
      <c r="I106" s="92"/>
      <c r="J106" s="29">
        <v>2680</v>
      </c>
      <c r="K106" s="91">
        <f>K101</f>
        <v>0</v>
      </c>
      <c r="L106" s="92"/>
      <c r="M106" s="29">
        <f>K106+L106</f>
        <v>0</v>
      </c>
      <c r="N106" s="91">
        <f>N101</f>
        <v>0</v>
      </c>
      <c r="O106" s="92"/>
      <c r="P106" s="29">
        <f>N106+O106</f>
        <v>0</v>
      </c>
      <c r="Q106" s="29">
        <f t="shared" si="18"/>
        <v>4351</v>
      </c>
      <c r="R106" s="210"/>
      <c r="S106" s="210"/>
      <c r="Z106" s="209"/>
      <c r="AA106" s="209"/>
      <c r="IQ106" s="80"/>
      <c r="IR106" s="80"/>
      <c r="IS106" s="80"/>
      <c r="IT106" s="80"/>
      <c r="IU106" s="80"/>
    </row>
    <row r="107" spans="2:255" s="77" customFormat="1" ht="16.5" customHeight="1" hidden="1">
      <c r="B107" s="38" t="s">
        <v>40</v>
      </c>
      <c r="C107" s="65"/>
      <c r="D107" s="91">
        <f>G107+J107+M107+P107</f>
        <v>0</v>
      </c>
      <c r="E107" s="91"/>
      <c r="F107" s="92"/>
      <c r="G107" s="29">
        <f>E107+F107</f>
        <v>0</v>
      </c>
      <c r="H107" s="91"/>
      <c r="I107" s="92"/>
      <c r="J107" s="29">
        <f>1607-1607</f>
        <v>0</v>
      </c>
      <c r="K107" s="91"/>
      <c r="L107" s="92"/>
      <c r="M107" s="29">
        <f>K107+L107</f>
        <v>0</v>
      </c>
      <c r="N107" s="91"/>
      <c r="O107" s="92"/>
      <c r="P107" s="29">
        <f>N107+O107</f>
        <v>0</v>
      </c>
      <c r="Q107" s="29">
        <f t="shared" si="18"/>
        <v>0</v>
      </c>
      <c r="R107" s="210"/>
      <c r="S107" s="210"/>
      <c r="Z107" s="209"/>
      <c r="AA107" s="209"/>
      <c r="IQ107" s="80"/>
      <c r="IR107" s="80"/>
      <c r="IS107" s="80"/>
      <c r="IT107" s="80"/>
      <c r="IU107" s="80"/>
    </row>
    <row r="108" spans="2:255" s="77" customFormat="1" ht="16.5" customHeight="1" hidden="1">
      <c r="B108" s="38" t="s">
        <v>57</v>
      </c>
      <c r="C108" s="65"/>
      <c r="D108" s="91">
        <v>0</v>
      </c>
      <c r="E108" s="91">
        <v>3513</v>
      </c>
      <c r="F108" s="92"/>
      <c r="G108" s="29">
        <v>981</v>
      </c>
      <c r="H108" s="91"/>
      <c r="I108" s="92"/>
      <c r="J108" s="29">
        <f>H108+I108</f>
        <v>0</v>
      </c>
      <c r="K108" s="91"/>
      <c r="L108" s="92"/>
      <c r="M108" s="29">
        <f>K108+L108</f>
        <v>0</v>
      </c>
      <c r="N108" s="91"/>
      <c r="O108" s="92"/>
      <c r="P108" s="29">
        <f>N108+O108</f>
        <v>0</v>
      </c>
      <c r="Q108" s="29">
        <f t="shared" si="18"/>
        <v>981</v>
      </c>
      <c r="R108" s="210"/>
      <c r="S108" s="210"/>
      <c r="Z108" s="209"/>
      <c r="AA108" s="209"/>
      <c r="IQ108" s="80"/>
      <c r="IR108" s="80"/>
      <c r="IS108" s="80"/>
      <c r="IT108" s="80"/>
      <c r="IU108" s="80"/>
    </row>
    <row r="109" spans="2:255" s="93" customFormat="1" ht="30" hidden="1">
      <c r="B109" s="49" t="s">
        <v>41</v>
      </c>
      <c r="C109" s="94"/>
      <c r="D109" s="91">
        <f>G109+J109+M109+P109</f>
        <v>0</v>
      </c>
      <c r="E109" s="91">
        <v>60</v>
      </c>
      <c r="F109" s="92"/>
      <c r="G109" s="29">
        <v>0</v>
      </c>
      <c r="H109" s="91">
        <v>55</v>
      </c>
      <c r="I109" s="92"/>
      <c r="J109" s="29">
        <v>0</v>
      </c>
      <c r="K109" s="91">
        <f>K102+44</f>
        <v>44</v>
      </c>
      <c r="L109" s="92"/>
      <c r="M109" s="29">
        <v>0</v>
      </c>
      <c r="N109" s="91">
        <f>N102+21</f>
        <v>21</v>
      </c>
      <c r="O109" s="92"/>
      <c r="P109" s="29">
        <v>0</v>
      </c>
      <c r="Q109" s="29">
        <f t="shared" si="18"/>
        <v>0</v>
      </c>
      <c r="R109" s="212"/>
      <c r="S109" s="212"/>
      <c r="Z109" s="216"/>
      <c r="AA109" s="216"/>
      <c r="IQ109" s="95"/>
      <c r="IR109" s="95"/>
      <c r="IS109" s="95"/>
      <c r="IT109" s="95"/>
      <c r="IU109" s="95"/>
    </row>
    <row r="110" spans="1:255" s="77" customFormat="1" ht="42" customHeight="1">
      <c r="A110" s="77">
        <v>11</v>
      </c>
      <c r="B110" s="78" t="s">
        <v>55</v>
      </c>
      <c r="C110" s="23" t="s">
        <v>58</v>
      </c>
      <c r="D110" s="41">
        <f>E110+H110+K110+N110</f>
        <v>100</v>
      </c>
      <c r="E110" s="41">
        <f>E111+E112+E113</f>
        <v>100</v>
      </c>
      <c r="F110" s="42"/>
      <c r="G110" s="29">
        <f>G111+G112+G113</f>
        <v>100</v>
      </c>
      <c r="H110" s="29">
        <f aca="true" t="shared" si="25" ref="H110:P110">H111+H112+H113</f>
        <v>0</v>
      </c>
      <c r="I110" s="29">
        <f t="shared" si="25"/>
        <v>0</v>
      </c>
      <c r="J110" s="29">
        <f t="shared" si="25"/>
        <v>0</v>
      </c>
      <c r="K110" s="29">
        <f t="shared" si="25"/>
        <v>0</v>
      </c>
      <c r="L110" s="29">
        <f t="shared" si="25"/>
        <v>0</v>
      </c>
      <c r="M110" s="29">
        <f t="shared" si="25"/>
        <v>0</v>
      </c>
      <c r="N110" s="29">
        <f t="shared" si="25"/>
        <v>0</v>
      </c>
      <c r="O110" s="29">
        <f t="shared" si="25"/>
        <v>0</v>
      </c>
      <c r="P110" s="29">
        <f t="shared" si="25"/>
        <v>0</v>
      </c>
      <c r="Q110" s="29">
        <f t="shared" si="18"/>
        <v>100</v>
      </c>
      <c r="R110" s="139">
        <f>R111+R113</f>
        <v>8</v>
      </c>
      <c r="S110" s="139">
        <f>S111+S113</f>
        <v>0</v>
      </c>
      <c r="T110" s="96">
        <f>T111+T113</f>
        <v>645</v>
      </c>
      <c r="Z110" s="223">
        <v>0</v>
      </c>
      <c r="AA110" s="226">
        <f>D110+Z110</f>
        <v>100</v>
      </c>
      <c r="IQ110" s="80"/>
      <c r="IR110" s="80"/>
      <c r="IS110" s="80"/>
      <c r="IT110" s="80"/>
      <c r="IU110" s="80"/>
    </row>
    <row r="111" spans="2:255" s="77" customFormat="1" ht="16.5" customHeight="1">
      <c r="B111" s="43" t="s">
        <v>44</v>
      </c>
      <c r="C111" s="44"/>
      <c r="D111" s="45">
        <f>E111+H111+K111+N111</f>
        <v>0</v>
      </c>
      <c r="E111" s="91">
        <v>0</v>
      </c>
      <c r="F111" s="92"/>
      <c r="G111" s="33">
        <f aca="true" t="shared" si="26" ref="G111:G120">E111+F111</f>
        <v>0</v>
      </c>
      <c r="H111" s="45">
        <v>0</v>
      </c>
      <c r="I111" s="53"/>
      <c r="J111" s="33">
        <f aca="true" t="shared" si="27" ref="J111:J120">H111+I111</f>
        <v>0</v>
      </c>
      <c r="K111" s="45">
        <v>0</v>
      </c>
      <c r="L111" s="53"/>
      <c r="M111" s="33">
        <f>K111+L111</f>
        <v>0</v>
      </c>
      <c r="N111" s="45">
        <v>0</v>
      </c>
      <c r="O111" s="53"/>
      <c r="P111" s="33">
        <f aca="true" t="shared" si="28" ref="P111:P121">N111+O111</f>
        <v>0</v>
      </c>
      <c r="Q111" s="29">
        <f aca="true" t="shared" si="29" ref="Q111:Q128">G111+J111+M111+P111</f>
        <v>0</v>
      </c>
      <c r="R111" s="239">
        <v>8</v>
      </c>
      <c r="S111" s="242">
        <v>0</v>
      </c>
      <c r="T111" s="240">
        <v>643</v>
      </c>
      <c r="Z111" s="209">
        <v>0</v>
      </c>
      <c r="AA111" s="130">
        <f>D111+Z111</f>
        <v>0</v>
      </c>
      <c r="IQ111" s="80"/>
      <c r="IR111" s="80"/>
      <c r="IS111" s="80"/>
      <c r="IT111" s="80"/>
      <c r="IU111" s="80"/>
    </row>
    <row r="112" spans="2:255" s="77" customFormat="1" ht="16.5" customHeight="1">
      <c r="B112" s="38" t="s">
        <v>45</v>
      </c>
      <c r="C112" s="46"/>
      <c r="D112" s="45">
        <f>E112+H112+K112+N112</f>
        <v>0</v>
      </c>
      <c r="E112" s="91">
        <v>0</v>
      </c>
      <c r="F112" s="92"/>
      <c r="G112" s="33">
        <f t="shared" si="26"/>
        <v>0</v>
      </c>
      <c r="H112" s="45">
        <v>0</v>
      </c>
      <c r="I112" s="53"/>
      <c r="J112" s="33">
        <f t="shared" si="27"/>
        <v>0</v>
      </c>
      <c r="K112" s="51">
        <v>0</v>
      </c>
      <c r="L112" s="64"/>
      <c r="M112" s="33">
        <f>K112+L112</f>
        <v>0</v>
      </c>
      <c r="N112" s="45">
        <v>0</v>
      </c>
      <c r="O112" s="53"/>
      <c r="P112" s="33">
        <f t="shared" si="28"/>
        <v>0</v>
      </c>
      <c r="Q112" s="29">
        <f t="shared" si="29"/>
        <v>0</v>
      </c>
      <c r="R112" s="239"/>
      <c r="S112" s="239"/>
      <c r="T112" s="240"/>
      <c r="Z112" s="209">
        <v>0</v>
      </c>
      <c r="AA112" s="130">
        <f>D112+Z112</f>
        <v>0</v>
      </c>
      <c r="IQ112" s="80"/>
      <c r="IR112" s="80"/>
      <c r="IS112" s="80"/>
      <c r="IT112" s="80"/>
      <c r="IU112" s="80"/>
    </row>
    <row r="113" spans="2:255" s="77" customFormat="1" ht="16.5" customHeight="1">
      <c r="B113" s="38" t="s">
        <v>46</v>
      </c>
      <c r="C113" s="47"/>
      <c r="D113" s="45">
        <f>G113+J113+M113+N113</f>
        <v>100</v>
      </c>
      <c r="E113" s="82">
        <v>100</v>
      </c>
      <c r="F113" s="83"/>
      <c r="G113" s="33">
        <v>100</v>
      </c>
      <c r="H113" s="45">
        <v>0</v>
      </c>
      <c r="I113" s="53"/>
      <c r="J113" s="33">
        <f t="shared" si="27"/>
        <v>0</v>
      </c>
      <c r="K113" s="45">
        <v>0</v>
      </c>
      <c r="L113" s="53"/>
      <c r="M113" s="33">
        <f>K113+L113</f>
        <v>0</v>
      </c>
      <c r="N113" s="45">
        <v>0</v>
      </c>
      <c r="O113" s="53"/>
      <c r="P113" s="33">
        <f t="shared" si="28"/>
        <v>0</v>
      </c>
      <c r="Q113" s="29">
        <f t="shared" si="29"/>
        <v>100</v>
      </c>
      <c r="R113" s="139"/>
      <c r="S113" s="139">
        <v>0</v>
      </c>
      <c r="T113" s="98">
        <v>2</v>
      </c>
      <c r="Z113" s="209">
        <v>0</v>
      </c>
      <c r="AA113" s="130">
        <f>D113+Z113</f>
        <v>100</v>
      </c>
      <c r="IQ113" s="80"/>
      <c r="IR113" s="80"/>
      <c r="IS113" s="80"/>
      <c r="IT113" s="80"/>
      <c r="IU113" s="80"/>
    </row>
    <row r="114" spans="2:255" s="77" customFormat="1" ht="16.5" customHeight="1" hidden="1">
      <c r="B114" s="38"/>
      <c r="C114" s="65"/>
      <c r="D114" s="45">
        <f>E114+H114+K114+N114</f>
        <v>0</v>
      </c>
      <c r="E114" s="82"/>
      <c r="F114" s="83"/>
      <c r="G114" s="29">
        <f t="shared" si="26"/>
        <v>0</v>
      </c>
      <c r="H114" s="82"/>
      <c r="I114" s="83"/>
      <c r="J114" s="29">
        <f t="shared" si="27"/>
        <v>0</v>
      </c>
      <c r="K114" s="82"/>
      <c r="L114" s="83"/>
      <c r="M114" s="29">
        <f>K114+L114</f>
        <v>0</v>
      </c>
      <c r="N114" s="82"/>
      <c r="O114" s="83"/>
      <c r="P114" s="29">
        <f t="shared" si="28"/>
        <v>0</v>
      </c>
      <c r="Q114" s="29">
        <f t="shared" si="29"/>
        <v>0</v>
      </c>
      <c r="R114" s="213"/>
      <c r="S114" s="213"/>
      <c r="T114" s="98"/>
      <c r="Z114" s="209"/>
      <c r="AA114" s="209"/>
      <c r="IQ114" s="80"/>
      <c r="IR114" s="80"/>
      <c r="IS114" s="80"/>
      <c r="IT114" s="80"/>
      <c r="IU114" s="80"/>
    </row>
    <row r="115" spans="2:255" s="87" customFormat="1" ht="16.5" customHeight="1" hidden="1">
      <c r="B115" s="39"/>
      <c r="C115" s="28"/>
      <c r="D115" s="41">
        <f>G115+J115+M115+N115</f>
        <v>1578</v>
      </c>
      <c r="E115" s="88">
        <f>E116+E117+E118+E120+E119</f>
        <v>100</v>
      </c>
      <c r="F115" s="89"/>
      <c r="G115" s="29">
        <f t="shared" si="26"/>
        <v>100</v>
      </c>
      <c r="H115" s="88">
        <f>H116+H117+H118+H120+H119</f>
        <v>0</v>
      </c>
      <c r="I115" s="89"/>
      <c r="J115" s="29">
        <f t="shared" si="27"/>
        <v>0</v>
      </c>
      <c r="K115" s="88">
        <f>K116+K117+K118+K120+K119</f>
        <v>0</v>
      </c>
      <c r="L115" s="89"/>
      <c r="M115" s="29">
        <f>M116+M117+M118+M119</f>
        <v>1478</v>
      </c>
      <c r="N115" s="88">
        <f>N116+N117+N118+N119+N120</f>
        <v>0</v>
      </c>
      <c r="O115" s="89"/>
      <c r="P115" s="29">
        <f t="shared" si="28"/>
        <v>0</v>
      </c>
      <c r="Q115" s="29">
        <f t="shared" si="29"/>
        <v>1578</v>
      </c>
      <c r="R115" s="214"/>
      <c r="S115" s="214"/>
      <c r="T115" s="99"/>
      <c r="Z115" s="223"/>
      <c r="AA115" s="223"/>
      <c r="IQ115" s="90"/>
      <c r="IR115" s="90"/>
      <c r="IS115" s="90"/>
      <c r="IT115" s="90"/>
      <c r="IU115" s="90"/>
    </row>
    <row r="116" spans="2:255" s="77" customFormat="1" ht="16.5" customHeight="1" hidden="1">
      <c r="B116" s="38" t="s">
        <v>47</v>
      </c>
      <c r="C116" s="65"/>
      <c r="D116" s="45">
        <f>G116+J116+M116+P116</f>
        <v>196</v>
      </c>
      <c r="E116" s="91">
        <v>0</v>
      </c>
      <c r="F116" s="92"/>
      <c r="G116" s="33">
        <f t="shared" si="26"/>
        <v>0</v>
      </c>
      <c r="H116" s="51">
        <v>0</v>
      </c>
      <c r="I116" s="64"/>
      <c r="J116" s="33">
        <f t="shared" si="27"/>
        <v>0</v>
      </c>
      <c r="K116" s="51">
        <v>0</v>
      </c>
      <c r="L116" s="64"/>
      <c r="M116" s="33">
        <v>196</v>
      </c>
      <c r="N116" s="51">
        <v>0</v>
      </c>
      <c r="O116" s="64"/>
      <c r="P116" s="33">
        <f t="shared" si="28"/>
        <v>0</v>
      </c>
      <c r="Q116" s="29">
        <f t="shared" si="29"/>
        <v>196</v>
      </c>
      <c r="R116" s="213"/>
      <c r="S116" s="213"/>
      <c r="T116" s="98"/>
      <c r="Z116" s="209"/>
      <c r="AA116" s="209"/>
      <c r="IQ116" s="80"/>
      <c r="IR116" s="80"/>
      <c r="IS116" s="80"/>
      <c r="IT116" s="80"/>
      <c r="IU116" s="80"/>
    </row>
    <row r="117" spans="2:255" s="77" customFormat="1" ht="16.5" customHeight="1" hidden="1">
      <c r="B117" s="38" t="s">
        <v>48</v>
      </c>
      <c r="C117" s="65"/>
      <c r="D117" s="45">
        <f>G117+J117+M117+P117</f>
        <v>0</v>
      </c>
      <c r="E117" s="91">
        <v>0</v>
      </c>
      <c r="F117" s="92"/>
      <c r="G117" s="33">
        <f t="shared" si="26"/>
        <v>0</v>
      </c>
      <c r="H117" s="51">
        <v>0</v>
      </c>
      <c r="I117" s="64"/>
      <c r="J117" s="33">
        <f t="shared" si="27"/>
        <v>0</v>
      </c>
      <c r="K117" s="51">
        <v>0</v>
      </c>
      <c r="L117" s="64"/>
      <c r="M117" s="33">
        <f>K117+L117</f>
        <v>0</v>
      </c>
      <c r="N117" s="51">
        <v>0</v>
      </c>
      <c r="O117" s="64"/>
      <c r="P117" s="33">
        <f t="shared" si="28"/>
        <v>0</v>
      </c>
      <c r="Q117" s="29">
        <f t="shared" si="29"/>
        <v>0</v>
      </c>
      <c r="R117" s="213"/>
      <c r="S117" s="213"/>
      <c r="T117" s="98"/>
      <c r="Z117" s="209"/>
      <c r="AA117" s="209"/>
      <c r="IQ117" s="80"/>
      <c r="IR117" s="80"/>
      <c r="IS117" s="80"/>
      <c r="IT117" s="80"/>
      <c r="IU117" s="80"/>
    </row>
    <row r="118" spans="2:255" s="77" customFormat="1" ht="16.5" customHeight="1" hidden="1">
      <c r="B118" s="38" t="s">
        <v>49</v>
      </c>
      <c r="C118" s="65" t="s">
        <v>59</v>
      </c>
      <c r="D118" s="45">
        <f>G118+J118+M118+P118</f>
        <v>1282</v>
      </c>
      <c r="E118" s="91">
        <v>0</v>
      </c>
      <c r="F118" s="92"/>
      <c r="G118" s="33">
        <f t="shared" si="26"/>
        <v>0</v>
      </c>
      <c r="H118" s="51">
        <v>0</v>
      </c>
      <c r="I118" s="64"/>
      <c r="J118" s="33">
        <f t="shared" si="27"/>
        <v>0</v>
      </c>
      <c r="K118" s="51">
        <v>0</v>
      </c>
      <c r="L118" s="64"/>
      <c r="M118" s="33">
        <v>1282</v>
      </c>
      <c r="N118" s="51">
        <v>0</v>
      </c>
      <c r="O118" s="64"/>
      <c r="P118" s="33">
        <f t="shared" si="28"/>
        <v>0</v>
      </c>
      <c r="Q118" s="29">
        <f t="shared" si="29"/>
        <v>1282</v>
      </c>
      <c r="R118" s="213"/>
      <c r="S118" s="213"/>
      <c r="T118" s="98"/>
      <c r="Z118" s="209"/>
      <c r="AA118" s="209"/>
      <c r="IQ118" s="80"/>
      <c r="IR118" s="80"/>
      <c r="IS118" s="80"/>
      <c r="IT118" s="80"/>
      <c r="IU118" s="80"/>
    </row>
    <row r="119" spans="2:255" s="77" customFormat="1" ht="15" customHeight="1" hidden="1">
      <c r="B119" s="38" t="s">
        <v>57</v>
      </c>
      <c r="C119" s="65" t="s">
        <v>59</v>
      </c>
      <c r="D119" s="45">
        <f>G119+J119+M119+P119</f>
        <v>0</v>
      </c>
      <c r="E119" s="91">
        <v>0</v>
      </c>
      <c r="F119" s="92"/>
      <c r="G119" s="33">
        <f t="shared" si="26"/>
        <v>0</v>
      </c>
      <c r="H119" s="51">
        <v>0</v>
      </c>
      <c r="I119" s="64"/>
      <c r="J119" s="33">
        <f t="shared" si="27"/>
        <v>0</v>
      </c>
      <c r="K119" s="51">
        <v>0</v>
      </c>
      <c r="L119" s="64"/>
      <c r="M119" s="33">
        <v>0</v>
      </c>
      <c r="N119" s="51">
        <v>0</v>
      </c>
      <c r="O119" s="64"/>
      <c r="P119" s="33">
        <f t="shared" si="28"/>
        <v>0</v>
      </c>
      <c r="Q119" s="29">
        <f t="shared" si="29"/>
        <v>0</v>
      </c>
      <c r="R119" s="213"/>
      <c r="S119" s="213"/>
      <c r="T119" s="98"/>
      <c r="Z119" s="209"/>
      <c r="AA119" s="209"/>
      <c r="IQ119" s="80"/>
      <c r="IR119" s="80"/>
      <c r="IS119" s="80"/>
      <c r="IT119" s="80"/>
      <c r="IU119" s="80"/>
    </row>
    <row r="120" spans="2:255" s="93" customFormat="1" ht="18.75" customHeight="1" hidden="1">
      <c r="B120" s="49" t="s">
        <v>41</v>
      </c>
      <c r="C120" s="94"/>
      <c r="D120" s="45">
        <f>G120+J120+M120+N120</f>
        <v>100</v>
      </c>
      <c r="E120" s="91">
        <v>100</v>
      </c>
      <c r="F120" s="92"/>
      <c r="G120" s="33">
        <f t="shared" si="26"/>
        <v>100</v>
      </c>
      <c r="H120" s="51">
        <v>0</v>
      </c>
      <c r="I120" s="64"/>
      <c r="J120" s="33">
        <f t="shared" si="27"/>
        <v>0</v>
      </c>
      <c r="K120" s="51">
        <v>0</v>
      </c>
      <c r="L120" s="64"/>
      <c r="M120" s="33">
        <f>K120+L120</f>
        <v>0</v>
      </c>
      <c r="N120" s="51">
        <v>0</v>
      </c>
      <c r="O120" s="64"/>
      <c r="P120" s="33">
        <f t="shared" si="28"/>
        <v>0</v>
      </c>
      <c r="Q120" s="29">
        <f t="shared" si="29"/>
        <v>100</v>
      </c>
      <c r="R120" s="215"/>
      <c r="S120" s="215"/>
      <c r="T120" s="100"/>
      <c r="Z120" s="216"/>
      <c r="AA120" s="216"/>
      <c r="IQ120" s="95"/>
      <c r="IR120" s="95"/>
      <c r="IS120" s="95"/>
      <c r="IT120" s="95"/>
      <c r="IU120" s="95"/>
    </row>
    <row r="121" spans="1:255" s="77" customFormat="1" ht="31.5" customHeight="1">
      <c r="A121" s="77">
        <v>12</v>
      </c>
      <c r="B121" s="78" t="s">
        <v>60</v>
      </c>
      <c r="C121" s="23" t="s">
        <v>61</v>
      </c>
      <c r="D121" s="41">
        <f>SUM(D122:D124)</f>
        <v>7633</v>
      </c>
      <c r="E121" s="41">
        <f>SUM(E122:E124)</f>
        <v>26</v>
      </c>
      <c r="F121" s="42"/>
      <c r="G121" s="29">
        <f>G122+G123+G124</f>
        <v>7633</v>
      </c>
      <c r="H121" s="41">
        <f>SUM(H122:H124)</f>
        <v>6743</v>
      </c>
      <c r="I121" s="42"/>
      <c r="J121" s="29">
        <v>0</v>
      </c>
      <c r="K121" s="41">
        <f>SUM(K122:K124)</f>
        <v>0</v>
      </c>
      <c r="L121" s="42"/>
      <c r="M121" s="29">
        <f>K121+L121</f>
        <v>0</v>
      </c>
      <c r="N121" s="41">
        <f>SUM(N122:N124)</f>
        <v>0</v>
      </c>
      <c r="O121" s="42"/>
      <c r="P121" s="29">
        <f t="shared" si="28"/>
        <v>0</v>
      </c>
      <c r="Q121" s="29">
        <f t="shared" si="29"/>
        <v>7633</v>
      </c>
      <c r="R121" s="210"/>
      <c r="S121" s="210"/>
      <c r="Z121" s="223">
        <v>0</v>
      </c>
      <c r="AA121" s="226">
        <f>D121+Z121</f>
        <v>7633</v>
      </c>
      <c r="IQ121" s="80"/>
      <c r="IR121" s="80"/>
      <c r="IS121" s="80"/>
      <c r="IT121" s="80"/>
      <c r="IU121" s="80"/>
    </row>
    <row r="122" spans="2:255" s="77" customFormat="1" ht="16.5" customHeight="1">
      <c r="B122" s="43" t="s">
        <v>35</v>
      </c>
      <c r="C122" s="81"/>
      <c r="D122" s="82">
        <f>G122</f>
        <v>1076</v>
      </c>
      <c r="E122" s="82">
        <f>693-689</f>
        <v>4</v>
      </c>
      <c r="F122" s="83"/>
      <c r="G122" s="29">
        <v>1076</v>
      </c>
      <c r="H122" s="82">
        <f>300+689</f>
        <v>989</v>
      </c>
      <c r="I122" s="83"/>
      <c r="J122" s="29"/>
      <c r="K122" s="82"/>
      <c r="L122" s="83"/>
      <c r="M122" s="29"/>
      <c r="N122" s="82"/>
      <c r="O122" s="83"/>
      <c r="P122" s="29"/>
      <c r="Q122" s="29">
        <f t="shared" si="29"/>
        <v>1076</v>
      </c>
      <c r="R122" s="210"/>
      <c r="S122" s="210"/>
      <c r="Z122" s="209">
        <v>0</v>
      </c>
      <c r="AA122" s="130">
        <f>D122+Z122</f>
        <v>1076</v>
      </c>
      <c r="IQ122" s="80"/>
      <c r="IR122" s="80"/>
      <c r="IS122" s="80"/>
      <c r="IT122" s="80"/>
      <c r="IU122" s="80"/>
    </row>
    <row r="123" spans="2:255" s="77" customFormat="1" ht="16.5" customHeight="1">
      <c r="B123" s="43" t="s">
        <v>36</v>
      </c>
      <c r="C123" s="85"/>
      <c r="D123" s="82">
        <f>G123</f>
        <v>6100</v>
      </c>
      <c r="E123" s="82">
        <f>3926-3904</f>
        <v>22</v>
      </c>
      <c r="F123" s="83"/>
      <c r="G123" s="29">
        <f>7176-1076</f>
        <v>6100</v>
      </c>
      <c r="H123" s="82">
        <f>1700+3904</f>
        <v>5604</v>
      </c>
      <c r="I123" s="83"/>
      <c r="J123" s="29"/>
      <c r="K123" s="82"/>
      <c r="L123" s="83"/>
      <c r="M123" s="29"/>
      <c r="N123" s="82"/>
      <c r="O123" s="83"/>
      <c r="P123" s="29"/>
      <c r="Q123" s="29">
        <f t="shared" si="29"/>
        <v>6100</v>
      </c>
      <c r="R123" s="210"/>
      <c r="S123" s="210"/>
      <c r="Z123" s="209">
        <v>0</v>
      </c>
      <c r="AA123" s="130">
        <f>D123+Z123</f>
        <v>6100</v>
      </c>
      <c r="IQ123" s="80"/>
      <c r="IR123" s="80"/>
      <c r="IS123" s="80"/>
      <c r="IT123" s="80"/>
      <c r="IU123" s="80"/>
    </row>
    <row r="124" spans="2:255" s="77" customFormat="1" ht="16.5" customHeight="1">
      <c r="B124" s="43" t="s">
        <v>37</v>
      </c>
      <c r="C124" s="86"/>
      <c r="D124" s="82">
        <f>G124</f>
        <v>457</v>
      </c>
      <c r="E124" s="82">
        <v>0</v>
      </c>
      <c r="F124" s="83"/>
      <c r="G124" s="29">
        <v>457</v>
      </c>
      <c r="H124" s="82">
        <v>150</v>
      </c>
      <c r="I124" s="83"/>
      <c r="J124" s="29"/>
      <c r="K124" s="82"/>
      <c r="L124" s="83"/>
      <c r="M124" s="29"/>
      <c r="N124" s="82"/>
      <c r="O124" s="83"/>
      <c r="P124" s="29"/>
      <c r="Q124" s="29">
        <f t="shared" si="29"/>
        <v>457</v>
      </c>
      <c r="R124" s="210"/>
      <c r="S124" s="210"/>
      <c r="Z124" s="209">
        <v>0</v>
      </c>
      <c r="AA124" s="130">
        <f>D124+Z124</f>
        <v>457</v>
      </c>
      <c r="IQ124" s="80"/>
      <c r="IR124" s="80"/>
      <c r="IS124" s="80"/>
      <c r="IT124" s="80"/>
      <c r="IU124" s="80"/>
    </row>
    <row r="125" spans="2:255" s="77" customFormat="1" ht="16.5" customHeight="1" hidden="1">
      <c r="B125" s="43"/>
      <c r="C125" s="65"/>
      <c r="D125" s="82"/>
      <c r="E125" s="82"/>
      <c r="F125" s="83"/>
      <c r="G125" s="29">
        <f>E125+F125</f>
        <v>0</v>
      </c>
      <c r="H125" s="82"/>
      <c r="I125" s="83"/>
      <c r="J125" s="29"/>
      <c r="K125" s="82"/>
      <c r="L125" s="83"/>
      <c r="M125" s="29"/>
      <c r="N125" s="82"/>
      <c r="O125" s="83"/>
      <c r="P125" s="29"/>
      <c r="Q125" s="29">
        <f t="shared" si="29"/>
        <v>0</v>
      </c>
      <c r="R125" s="210"/>
      <c r="S125" s="210"/>
      <c r="Z125" s="209"/>
      <c r="AA125" s="209"/>
      <c r="IQ125" s="80"/>
      <c r="IR125" s="80"/>
      <c r="IS125" s="80"/>
      <c r="IT125" s="80"/>
      <c r="IU125" s="80"/>
    </row>
    <row r="126" spans="2:255" s="87" customFormat="1" ht="16.5" customHeight="1" hidden="1">
      <c r="B126" s="43"/>
      <c r="C126" s="28"/>
      <c r="D126" s="101">
        <f>D127+D128+D130+D131</f>
        <v>8240</v>
      </c>
      <c r="E126" s="101">
        <f>E127+E128+E130+E131</f>
        <v>693</v>
      </c>
      <c r="F126" s="102"/>
      <c r="G126" s="29">
        <f>SUM(G127:G131)</f>
        <v>1207</v>
      </c>
      <c r="H126" s="101">
        <f>H127+H128+H130+H131</f>
        <v>2150</v>
      </c>
      <c r="I126" s="102"/>
      <c r="J126" s="29">
        <f>SUM(J127:J131)</f>
        <v>7033</v>
      </c>
      <c r="K126" s="29"/>
      <c r="L126" s="29"/>
      <c r="M126" s="29"/>
      <c r="N126" s="29"/>
      <c r="O126" s="29"/>
      <c r="P126" s="29"/>
      <c r="Q126" s="29">
        <f t="shared" si="29"/>
        <v>8240</v>
      </c>
      <c r="R126" s="211"/>
      <c r="S126" s="211"/>
      <c r="Z126" s="223"/>
      <c r="AA126" s="223"/>
      <c r="IQ126" s="90"/>
      <c r="IR126" s="90"/>
      <c r="IS126" s="90"/>
      <c r="IT126" s="90"/>
      <c r="IU126" s="90"/>
    </row>
    <row r="127" spans="2:255" s="77" customFormat="1" ht="16.5" customHeight="1" hidden="1">
      <c r="B127" s="38" t="s">
        <v>38</v>
      </c>
      <c r="C127" s="65"/>
      <c r="D127" s="82">
        <f>G127+J127</f>
        <v>1014</v>
      </c>
      <c r="E127" s="82">
        <v>600</v>
      </c>
      <c r="F127" s="83"/>
      <c r="G127" s="33">
        <v>81</v>
      </c>
      <c r="H127" s="82">
        <v>260</v>
      </c>
      <c r="I127" s="83"/>
      <c r="J127" s="33">
        <v>933</v>
      </c>
      <c r="K127" s="29"/>
      <c r="L127" s="29"/>
      <c r="M127" s="29"/>
      <c r="N127" s="29"/>
      <c r="O127" s="29"/>
      <c r="P127" s="29"/>
      <c r="Q127" s="29">
        <f t="shared" si="29"/>
        <v>1014</v>
      </c>
      <c r="R127" s="210"/>
      <c r="S127" s="213"/>
      <c r="Z127" s="209"/>
      <c r="AA127" s="209"/>
      <c r="IQ127" s="80"/>
      <c r="IR127" s="80"/>
      <c r="IS127" s="80"/>
      <c r="IT127" s="80"/>
      <c r="IU127" s="80"/>
    </row>
    <row r="128" spans="2:255" s="77" customFormat="1" ht="16.5" customHeight="1" hidden="1">
      <c r="B128" s="38" t="s">
        <v>39</v>
      </c>
      <c r="C128" s="65"/>
      <c r="D128" s="82">
        <f>G128+J128</f>
        <v>6100</v>
      </c>
      <c r="E128" s="82">
        <f>3926-3926</f>
        <v>0</v>
      </c>
      <c r="F128" s="83"/>
      <c r="G128" s="33">
        <v>0</v>
      </c>
      <c r="H128" s="82">
        <v>1700</v>
      </c>
      <c r="I128" s="83"/>
      <c r="J128" s="33">
        <f>G123</f>
        <v>6100</v>
      </c>
      <c r="K128" s="29"/>
      <c r="L128" s="29"/>
      <c r="M128" s="29"/>
      <c r="N128" s="29"/>
      <c r="O128" s="29"/>
      <c r="P128" s="29"/>
      <c r="Q128" s="29">
        <f t="shared" si="29"/>
        <v>6100</v>
      </c>
      <c r="R128" s="210"/>
      <c r="S128" s="210"/>
      <c r="Z128" s="209"/>
      <c r="AA128" s="209"/>
      <c r="IQ128" s="80"/>
      <c r="IR128" s="80"/>
      <c r="IS128" s="80"/>
      <c r="IT128" s="80"/>
      <c r="IU128" s="80"/>
    </row>
    <row r="129" spans="2:255" s="77" customFormat="1" ht="16.5" customHeight="1" hidden="1">
      <c r="B129" s="38" t="s">
        <v>40</v>
      </c>
      <c r="C129" s="65"/>
      <c r="D129" s="82">
        <v>0</v>
      </c>
      <c r="E129" s="82"/>
      <c r="F129" s="83"/>
      <c r="G129" s="33">
        <v>0</v>
      </c>
      <c r="H129" s="82"/>
      <c r="I129" s="83"/>
      <c r="J129" s="33">
        <v>0</v>
      </c>
      <c r="K129" s="29"/>
      <c r="L129" s="29"/>
      <c r="M129" s="29"/>
      <c r="N129" s="29"/>
      <c r="O129" s="29"/>
      <c r="P129" s="29"/>
      <c r="Q129" s="29"/>
      <c r="R129" s="210"/>
      <c r="S129" s="210"/>
      <c r="Z129" s="209"/>
      <c r="AA129" s="209"/>
      <c r="IQ129" s="80"/>
      <c r="IR129" s="80"/>
      <c r="IS129" s="80"/>
      <c r="IT129" s="80"/>
      <c r="IU129" s="80"/>
    </row>
    <row r="130" spans="2:255" s="77" customFormat="1" ht="16.5" customHeight="1" hidden="1">
      <c r="B130" s="38" t="s">
        <v>49</v>
      </c>
      <c r="C130" s="65"/>
      <c r="D130" s="82">
        <f>G130</f>
        <v>526</v>
      </c>
      <c r="E130" s="82">
        <v>0</v>
      </c>
      <c r="F130" s="83"/>
      <c r="G130" s="33">
        <v>526</v>
      </c>
      <c r="H130" s="82">
        <v>0</v>
      </c>
      <c r="I130" s="83"/>
      <c r="J130" s="33">
        <f>H130+I130</f>
        <v>0</v>
      </c>
      <c r="K130" s="29"/>
      <c r="L130" s="29"/>
      <c r="M130" s="29"/>
      <c r="N130" s="29"/>
      <c r="O130" s="29"/>
      <c r="P130" s="29"/>
      <c r="Q130" s="29">
        <f aca="true" t="shared" si="30" ref="Q130:Q161">G130+J130+M130+P130</f>
        <v>526</v>
      </c>
      <c r="R130" s="210"/>
      <c r="S130" s="210"/>
      <c r="Z130" s="209"/>
      <c r="AA130" s="209"/>
      <c r="IQ130" s="80"/>
      <c r="IR130" s="80"/>
      <c r="IS130" s="80"/>
      <c r="IT130" s="80"/>
      <c r="IU130" s="80"/>
    </row>
    <row r="131" spans="2:255" s="93" customFormat="1" ht="30" hidden="1">
      <c r="B131" s="49" t="s">
        <v>41</v>
      </c>
      <c r="C131" s="94"/>
      <c r="D131" s="82">
        <f>G131</f>
        <v>600</v>
      </c>
      <c r="E131" s="82">
        <v>93</v>
      </c>
      <c r="F131" s="83"/>
      <c r="G131" s="33">
        <v>600</v>
      </c>
      <c r="H131" s="82">
        <v>190</v>
      </c>
      <c r="I131" s="83"/>
      <c r="J131" s="33">
        <v>0</v>
      </c>
      <c r="K131" s="29"/>
      <c r="L131" s="29"/>
      <c r="M131" s="29"/>
      <c r="N131" s="29"/>
      <c r="O131" s="29"/>
      <c r="P131" s="29"/>
      <c r="Q131" s="29">
        <f t="shared" si="30"/>
        <v>600</v>
      </c>
      <c r="R131" s="212"/>
      <c r="S131" s="212"/>
      <c r="Z131" s="216"/>
      <c r="AA131" s="216"/>
      <c r="IQ131" s="95"/>
      <c r="IR131" s="95"/>
      <c r="IS131" s="95"/>
      <c r="IT131" s="95"/>
      <c r="IU131" s="95"/>
    </row>
    <row r="132" spans="2:255" s="77" customFormat="1" ht="31.5" customHeight="1" hidden="1">
      <c r="B132" s="103" t="s">
        <v>62</v>
      </c>
      <c r="C132" s="23" t="s">
        <v>63</v>
      </c>
      <c r="D132" s="41">
        <v>0</v>
      </c>
      <c r="E132" s="41">
        <f>SUM(E133:E135)</f>
        <v>420</v>
      </c>
      <c r="F132" s="42"/>
      <c r="G132" s="29">
        <v>0</v>
      </c>
      <c r="H132" s="41">
        <f>SUM(H133:H135)</f>
        <v>22001</v>
      </c>
      <c r="I132" s="42">
        <f>I133+I134+I135</f>
        <v>0</v>
      </c>
      <c r="J132" s="29">
        <f>J134</f>
        <v>0</v>
      </c>
      <c r="K132" s="41">
        <f>SUM(K133:K135)</f>
        <v>0</v>
      </c>
      <c r="L132" s="42"/>
      <c r="M132" s="29">
        <f aca="true" t="shared" si="31" ref="M132:M141">K132+L132</f>
        <v>0</v>
      </c>
      <c r="N132" s="41">
        <f>SUM(N133:N135)</f>
        <v>0</v>
      </c>
      <c r="O132" s="42"/>
      <c r="P132" s="29">
        <f aca="true" t="shared" si="32" ref="P132:P141">N132+O132</f>
        <v>0</v>
      </c>
      <c r="Q132" s="29">
        <f t="shared" si="30"/>
        <v>0</v>
      </c>
      <c r="R132" s="210"/>
      <c r="S132" s="210"/>
      <c r="Z132" s="209"/>
      <c r="AA132" s="209"/>
      <c r="IQ132" s="80"/>
      <c r="IR132" s="80"/>
      <c r="IS132" s="80"/>
      <c r="IT132" s="80"/>
      <c r="IU132" s="80"/>
    </row>
    <row r="133" spans="2:255" s="77" customFormat="1" ht="16.5" customHeight="1" hidden="1">
      <c r="B133" s="43" t="s">
        <v>44</v>
      </c>
      <c r="C133" s="81"/>
      <c r="D133" s="45">
        <f>E133+H133+K133+N133</f>
        <v>0</v>
      </c>
      <c r="E133" s="82">
        <v>0</v>
      </c>
      <c r="F133" s="83"/>
      <c r="G133" s="29">
        <f>E133+F133</f>
        <v>0</v>
      </c>
      <c r="H133" s="82">
        <v>0</v>
      </c>
      <c r="I133" s="83"/>
      <c r="J133" s="29">
        <f>H133+I133</f>
        <v>0</v>
      </c>
      <c r="K133" s="82">
        <v>0</v>
      </c>
      <c r="L133" s="83"/>
      <c r="M133" s="29">
        <f t="shared" si="31"/>
        <v>0</v>
      </c>
      <c r="N133" s="82">
        <v>0</v>
      </c>
      <c r="O133" s="83"/>
      <c r="P133" s="29">
        <f t="shared" si="32"/>
        <v>0</v>
      </c>
      <c r="Q133" s="29">
        <f t="shared" si="30"/>
        <v>0</v>
      </c>
      <c r="R133" s="210"/>
      <c r="S133" s="210"/>
      <c r="Z133" s="209"/>
      <c r="AA133" s="209"/>
      <c r="IQ133" s="80"/>
      <c r="IR133" s="80"/>
      <c r="IS133" s="80"/>
      <c r="IT133" s="80"/>
      <c r="IU133" s="80"/>
    </row>
    <row r="134" spans="2:255" s="77" customFormat="1" ht="16.5" customHeight="1" hidden="1">
      <c r="B134" s="38" t="s">
        <v>45</v>
      </c>
      <c r="C134" s="85"/>
      <c r="D134" s="45">
        <v>0</v>
      </c>
      <c r="E134" s="82">
        <v>420</v>
      </c>
      <c r="F134" s="83"/>
      <c r="G134" s="29">
        <v>0</v>
      </c>
      <c r="H134" s="82">
        <v>22001</v>
      </c>
      <c r="I134" s="83"/>
      <c r="J134" s="29">
        <v>0</v>
      </c>
      <c r="K134" s="82">
        <v>0</v>
      </c>
      <c r="L134" s="83"/>
      <c r="M134" s="29">
        <f t="shared" si="31"/>
        <v>0</v>
      </c>
      <c r="N134" s="82">
        <v>0</v>
      </c>
      <c r="O134" s="83"/>
      <c r="P134" s="29">
        <f t="shared" si="32"/>
        <v>0</v>
      </c>
      <c r="Q134" s="29">
        <f t="shared" si="30"/>
        <v>0</v>
      </c>
      <c r="R134" s="210"/>
      <c r="S134" s="210"/>
      <c r="Z134" s="209"/>
      <c r="AA134" s="209"/>
      <c r="IQ134" s="80"/>
      <c r="IR134" s="80"/>
      <c r="IS134" s="80"/>
      <c r="IT134" s="80"/>
      <c r="IU134" s="80"/>
    </row>
    <row r="135" spans="2:255" s="77" customFormat="1" ht="16.5" customHeight="1" hidden="1">
      <c r="B135" s="38" t="s">
        <v>46</v>
      </c>
      <c r="C135" s="85"/>
      <c r="D135" s="45">
        <f>E135+H135+K135+N135</f>
        <v>0</v>
      </c>
      <c r="E135" s="82">
        <v>0</v>
      </c>
      <c r="F135" s="83"/>
      <c r="G135" s="29">
        <f>E135+F135</f>
        <v>0</v>
      </c>
      <c r="H135" s="82">
        <v>0</v>
      </c>
      <c r="I135" s="83"/>
      <c r="J135" s="29">
        <f>H135+I135</f>
        <v>0</v>
      </c>
      <c r="K135" s="82">
        <v>0</v>
      </c>
      <c r="L135" s="83"/>
      <c r="M135" s="29">
        <f t="shared" si="31"/>
        <v>0</v>
      </c>
      <c r="N135" s="82">
        <v>0</v>
      </c>
      <c r="O135" s="83"/>
      <c r="P135" s="29">
        <f t="shared" si="32"/>
        <v>0</v>
      </c>
      <c r="Q135" s="29">
        <f t="shared" si="30"/>
        <v>0</v>
      </c>
      <c r="R135" s="210"/>
      <c r="S135" s="210"/>
      <c r="Z135" s="209"/>
      <c r="AA135" s="209"/>
      <c r="IQ135" s="80"/>
      <c r="IR135" s="80"/>
      <c r="IS135" s="80"/>
      <c r="IT135" s="80"/>
      <c r="IU135" s="80"/>
    </row>
    <row r="136" spans="2:255" s="77" customFormat="1" ht="20.25" customHeight="1" hidden="1">
      <c r="B136" s="38"/>
      <c r="C136" s="86"/>
      <c r="D136" s="45">
        <f>E136+H136+K136+N136</f>
        <v>0</v>
      </c>
      <c r="E136" s="82"/>
      <c r="F136" s="83"/>
      <c r="G136" s="29">
        <f>E136+F136</f>
        <v>0</v>
      </c>
      <c r="H136" s="82"/>
      <c r="I136" s="83"/>
      <c r="J136" s="29">
        <f>H136+I136</f>
        <v>0</v>
      </c>
      <c r="K136" s="82"/>
      <c r="L136" s="83"/>
      <c r="M136" s="29">
        <f t="shared" si="31"/>
        <v>0</v>
      </c>
      <c r="N136" s="82"/>
      <c r="O136" s="83"/>
      <c r="P136" s="29">
        <f t="shared" si="32"/>
        <v>0</v>
      </c>
      <c r="Q136" s="29">
        <f t="shared" si="30"/>
        <v>0</v>
      </c>
      <c r="R136" s="210"/>
      <c r="S136" s="210"/>
      <c r="Z136" s="209"/>
      <c r="AA136" s="209"/>
      <c r="IQ136" s="80"/>
      <c r="IR136" s="80"/>
      <c r="IS136" s="80"/>
      <c r="IT136" s="80"/>
      <c r="IU136" s="80"/>
    </row>
    <row r="137" spans="2:255" s="87" customFormat="1" ht="16.5" customHeight="1" hidden="1">
      <c r="B137" s="39"/>
      <c r="C137" s="28"/>
      <c r="D137" s="41">
        <v>420</v>
      </c>
      <c r="E137" s="101">
        <f>E138+E139+E140+E141</f>
        <v>420</v>
      </c>
      <c r="F137" s="102"/>
      <c r="G137" s="29">
        <f>E137+F137</f>
        <v>420</v>
      </c>
      <c r="H137" s="101">
        <f>H138+H139+H140+H141</f>
        <v>40001</v>
      </c>
      <c r="I137" s="102">
        <f>I138+I139+I140</f>
        <v>-18000</v>
      </c>
      <c r="J137" s="29">
        <v>0</v>
      </c>
      <c r="K137" s="101">
        <f>K138+K139+K140+K141</f>
        <v>0</v>
      </c>
      <c r="L137" s="102"/>
      <c r="M137" s="29">
        <f t="shared" si="31"/>
        <v>0</v>
      </c>
      <c r="N137" s="101">
        <f>N138+N139+N140+N141</f>
        <v>0</v>
      </c>
      <c r="O137" s="102"/>
      <c r="P137" s="29">
        <f t="shared" si="32"/>
        <v>0</v>
      </c>
      <c r="Q137" s="29">
        <f t="shared" si="30"/>
        <v>420</v>
      </c>
      <c r="R137" s="211"/>
      <c r="S137" s="211"/>
      <c r="Z137" s="223"/>
      <c r="AA137" s="223"/>
      <c r="IQ137" s="90"/>
      <c r="IR137" s="90"/>
      <c r="IS137" s="90"/>
      <c r="IT137" s="90"/>
      <c r="IU137" s="90"/>
    </row>
    <row r="138" spans="2:255" s="77" customFormat="1" ht="16.5" customHeight="1" hidden="1">
      <c r="B138" s="38" t="s">
        <v>47</v>
      </c>
      <c r="C138" s="65"/>
      <c r="D138" s="45">
        <f>E138+H138+K138+N138</f>
        <v>0</v>
      </c>
      <c r="E138" s="82">
        <v>0</v>
      </c>
      <c r="F138" s="83"/>
      <c r="G138" s="29">
        <f>E138+F138</f>
        <v>0</v>
      </c>
      <c r="H138" s="82">
        <v>0</v>
      </c>
      <c r="I138" s="83"/>
      <c r="J138" s="29">
        <f>H138+I138</f>
        <v>0</v>
      </c>
      <c r="K138" s="82">
        <v>0</v>
      </c>
      <c r="L138" s="83"/>
      <c r="M138" s="29">
        <f t="shared" si="31"/>
        <v>0</v>
      </c>
      <c r="N138" s="82">
        <v>0</v>
      </c>
      <c r="O138" s="83"/>
      <c r="P138" s="29">
        <f t="shared" si="32"/>
        <v>0</v>
      </c>
      <c r="Q138" s="29">
        <f t="shared" si="30"/>
        <v>0</v>
      </c>
      <c r="R138" s="210"/>
      <c r="S138" s="210"/>
      <c r="Z138" s="209"/>
      <c r="AA138" s="209"/>
      <c r="IQ138" s="80"/>
      <c r="IR138" s="80"/>
      <c r="IS138" s="80"/>
      <c r="IT138" s="80"/>
      <c r="IU138" s="80"/>
    </row>
    <row r="139" spans="2:255" s="77" customFormat="1" ht="16.5" customHeight="1" hidden="1">
      <c r="B139" s="38" t="s">
        <v>48</v>
      </c>
      <c r="C139" s="65"/>
      <c r="D139" s="45"/>
      <c r="E139" s="82">
        <v>420</v>
      </c>
      <c r="F139" s="83"/>
      <c r="G139" s="29">
        <v>0</v>
      </c>
      <c r="H139" s="82">
        <v>40001</v>
      </c>
      <c r="I139" s="83">
        <v>-18000</v>
      </c>
      <c r="J139" s="29"/>
      <c r="K139" s="82"/>
      <c r="L139" s="83"/>
      <c r="M139" s="29">
        <f t="shared" si="31"/>
        <v>0</v>
      </c>
      <c r="N139" s="82"/>
      <c r="O139" s="83"/>
      <c r="P139" s="29">
        <f t="shared" si="32"/>
        <v>0</v>
      </c>
      <c r="Q139" s="29">
        <f t="shared" si="30"/>
        <v>0</v>
      </c>
      <c r="R139" s="210"/>
      <c r="S139" s="210"/>
      <c r="Z139" s="209"/>
      <c r="AA139" s="209"/>
      <c r="IQ139" s="80"/>
      <c r="IR139" s="80"/>
      <c r="IS139" s="80"/>
      <c r="IT139" s="80"/>
      <c r="IU139" s="80"/>
    </row>
    <row r="140" spans="2:255" s="77" customFormat="1" ht="16.5" customHeight="1" hidden="1">
      <c r="B140" s="38" t="s">
        <v>49</v>
      </c>
      <c r="C140" s="65"/>
      <c r="D140" s="45">
        <f>G140+J140+M140+P140</f>
        <v>420</v>
      </c>
      <c r="E140" s="82">
        <v>0</v>
      </c>
      <c r="F140" s="83"/>
      <c r="G140" s="29">
        <v>420</v>
      </c>
      <c r="H140" s="82">
        <v>0</v>
      </c>
      <c r="I140" s="83"/>
      <c r="J140" s="29">
        <f>H140+I140</f>
        <v>0</v>
      </c>
      <c r="K140" s="82">
        <v>0</v>
      </c>
      <c r="L140" s="83"/>
      <c r="M140" s="29">
        <f t="shared" si="31"/>
        <v>0</v>
      </c>
      <c r="N140" s="82">
        <v>0</v>
      </c>
      <c r="O140" s="83"/>
      <c r="P140" s="29">
        <f t="shared" si="32"/>
        <v>0</v>
      </c>
      <c r="Q140" s="29">
        <f t="shared" si="30"/>
        <v>420</v>
      </c>
      <c r="R140" s="210"/>
      <c r="S140" s="210"/>
      <c r="Z140" s="209"/>
      <c r="AA140" s="209"/>
      <c r="IQ140" s="80"/>
      <c r="IR140" s="80"/>
      <c r="IS140" s="80"/>
      <c r="IT140" s="80"/>
      <c r="IU140" s="80"/>
    </row>
    <row r="141" spans="2:255" s="93" customFormat="1" ht="30" hidden="1">
      <c r="B141" s="49" t="s">
        <v>41</v>
      </c>
      <c r="C141" s="94"/>
      <c r="D141" s="45">
        <f>E141+H141+K141+N141</f>
        <v>0</v>
      </c>
      <c r="E141" s="82">
        <v>0</v>
      </c>
      <c r="F141" s="83"/>
      <c r="G141" s="29">
        <f>E141+F141</f>
        <v>0</v>
      </c>
      <c r="H141" s="82">
        <v>0</v>
      </c>
      <c r="I141" s="83"/>
      <c r="J141" s="29">
        <f>H141+I141</f>
        <v>0</v>
      </c>
      <c r="K141" s="82">
        <v>0</v>
      </c>
      <c r="L141" s="83"/>
      <c r="M141" s="29">
        <f t="shared" si="31"/>
        <v>0</v>
      </c>
      <c r="N141" s="82">
        <v>0</v>
      </c>
      <c r="O141" s="83"/>
      <c r="P141" s="29">
        <f t="shared" si="32"/>
        <v>0</v>
      </c>
      <c r="Q141" s="29">
        <f t="shared" si="30"/>
        <v>0</v>
      </c>
      <c r="R141" s="212"/>
      <c r="S141" s="212"/>
      <c r="Z141" s="216"/>
      <c r="AA141" s="216"/>
      <c r="IQ141" s="95"/>
      <c r="IR141" s="95"/>
      <c r="IS141" s="95"/>
      <c r="IT141" s="95"/>
      <c r="IU141" s="95"/>
    </row>
    <row r="142" spans="1:255" s="93" customFormat="1" ht="47.25" customHeight="1">
      <c r="A142" s="93">
        <v>13</v>
      </c>
      <c r="B142" s="78" t="s">
        <v>33</v>
      </c>
      <c r="C142" s="23" t="s">
        <v>64</v>
      </c>
      <c r="D142" s="41">
        <f>D143+D144+D145</f>
        <v>6629</v>
      </c>
      <c r="E142" s="41">
        <f aca="true" t="shared" si="33" ref="E142:P142">E143+E144+E145</f>
        <v>32</v>
      </c>
      <c r="F142" s="42">
        <f t="shared" si="33"/>
        <v>0</v>
      </c>
      <c r="G142" s="29">
        <f t="shared" si="33"/>
        <v>2380</v>
      </c>
      <c r="H142" s="29">
        <f t="shared" si="33"/>
        <v>212</v>
      </c>
      <c r="I142" s="29">
        <f t="shared" si="33"/>
        <v>0</v>
      </c>
      <c r="J142" s="29">
        <f>J143+J144+J145</f>
        <v>4249</v>
      </c>
      <c r="K142" s="29">
        <f t="shared" si="33"/>
        <v>334</v>
      </c>
      <c r="L142" s="29">
        <f t="shared" si="33"/>
        <v>0</v>
      </c>
      <c r="M142" s="29">
        <f t="shared" si="33"/>
        <v>0</v>
      </c>
      <c r="N142" s="29">
        <f t="shared" si="33"/>
        <v>0</v>
      </c>
      <c r="O142" s="29">
        <f t="shared" si="33"/>
        <v>0</v>
      </c>
      <c r="P142" s="29">
        <f t="shared" si="33"/>
        <v>0</v>
      </c>
      <c r="Q142" s="29">
        <f t="shared" si="30"/>
        <v>6629</v>
      </c>
      <c r="R142" s="212"/>
      <c r="S142" s="212"/>
      <c r="Z142" s="233">
        <v>0</v>
      </c>
      <c r="AA142" s="226">
        <f>D142+Z142</f>
        <v>6629</v>
      </c>
      <c r="IQ142" s="95"/>
      <c r="IR142" s="95"/>
      <c r="IS142" s="95"/>
      <c r="IT142" s="95"/>
      <c r="IU142" s="95"/>
    </row>
    <row r="143" spans="2:255" s="93" customFormat="1" ht="16.5" customHeight="1">
      <c r="B143" s="43" t="s">
        <v>65</v>
      </c>
      <c r="C143" s="44"/>
      <c r="D143" s="82">
        <f>G143+J143+M143+P143</f>
        <v>5890</v>
      </c>
      <c r="E143" s="82">
        <v>27</v>
      </c>
      <c r="F143" s="83"/>
      <c r="G143" s="29">
        <v>2000</v>
      </c>
      <c r="H143" s="82">
        <v>178</v>
      </c>
      <c r="I143" s="83"/>
      <c r="J143" s="29">
        <v>3890</v>
      </c>
      <c r="K143" s="82">
        <v>281</v>
      </c>
      <c r="L143" s="83"/>
      <c r="M143" s="29">
        <v>0</v>
      </c>
      <c r="N143" s="82"/>
      <c r="O143" s="83"/>
      <c r="P143" s="29">
        <v>0</v>
      </c>
      <c r="Q143" s="29">
        <f t="shared" si="30"/>
        <v>5890</v>
      </c>
      <c r="R143" s="212"/>
      <c r="S143" s="212"/>
      <c r="Z143" s="209">
        <v>0</v>
      </c>
      <c r="AA143" s="130">
        <f>D143+Z143</f>
        <v>5890</v>
      </c>
      <c r="IQ143" s="95"/>
      <c r="IR143" s="95"/>
      <c r="IS143" s="95"/>
      <c r="IT143" s="95"/>
      <c r="IU143" s="95"/>
    </row>
    <row r="144" spans="2:255" s="93" customFormat="1" ht="16.5" customHeight="1">
      <c r="B144" s="43" t="s">
        <v>66</v>
      </c>
      <c r="C144" s="46"/>
      <c r="D144" s="82">
        <f>G144+J144+M144+P144</f>
        <v>0</v>
      </c>
      <c r="E144" s="82">
        <v>0</v>
      </c>
      <c r="F144" s="83"/>
      <c r="G144" s="29">
        <f>E144+F144</f>
        <v>0</v>
      </c>
      <c r="H144" s="82"/>
      <c r="I144" s="83"/>
      <c r="J144" s="29">
        <f>H144+I144</f>
        <v>0</v>
      </c>
      <c r="K144" s="82"/>
      <c r="L144" s="83"/>
      <c r="M144" s="29">
        <f>K144+L144</f>
        <v>0</v>
      </c>
      <c r="N144" s="82"/>
      <c r="O144" s="83"/>
      <c r="P144" s="29">
        <f>N144+O144</f>
        <v>0</v>
      </c>
      <c r="Q144" s="29">
        <f t="shared" si="30"/>
        <v>0</v>
      </c>
      <c r="R144" s="212"/>
      <c r="S144" s="212"/>
      <c r="Z144" s="209">
        <v>0</v>
      </c>
      <c r="AA144" s="130">
        <f>D144+Z144</f>
        <v>0</v>
      </c>
      <c r="IQ144" s="95"/>
      <c r="IR144" s="95"/>
      <c r="IS144" s="95"/>
      <c r="IT144" s="95"/>
      <c r="IU144" s="95"/>
    </row>
    <row r="145" spans="2:255" s="93" customFormat="1" ht="16.5" customHeight="1">
      <c r="B145" s="38" t="s">
        <v>67</v>
      </c>
      <c r="C145" s="47"/>
      <c r="D145" s="82">
        <f>G145+J145+M145+P145</f>
        <v>739</v>
      </c>
      <c r="E145" s="82">
        <v>5</v>
      </c>
      <c r="F145" s="83"/>
      <c r="G145" s="29">
        <v>380</v>
      </c>
      <c r="H145" s="82">
        <v>34</v>
      </c>
      <c r="I145" s="83"/>
      <c r="J145" s="29">
        <v>359</v>
      </c>
      <c r="K145" s="82">
        <v>53</v>
      </c>
      <c r="L145" s="83"/>
      <c r="M145" s="29">
        <v>0</v>
      </c>
      <c r="N145" s="82"/>
      <c r="O145" s="83"/>
      <c r="P145" s="29">
        <v>0</v>
      </c>
      <c r="Q145" s="29">
        <f t="shared" si="30"/>
        <v>739</v>
      </c>
      <c r="R145" s="212"/>
      <c r="S145" s="212"/>
      <c r="Z145" s="209">
        <v>0</v>
      </c>
      <c r="AA145" s="130">
        <f>D145+Z145</f>
        <v>739</v>
      </c>
      <c r="IQ145" s="95"/>
      <c r="IR145" s="95"/>
      <c r="IS145" s="95"/>
      <c r="IT145" s="95"/>
      <c r="IU145" s="95"/>
    </row>
    <row r="146" spans="2:255" s="93" customFormat="1" ht="16.5" customHeight="1" hidden="1">
      <c r="B146" s="38"/>
      <c r="C146" s="65"/>
      <c r="D146" s="82"/>
      <c r="E146" s="82"/>
      <c r="F146" s="83"/>
      <c r="G146" s="29">
        <f>E146+F146</f>
        <v>0</v>
      </c>
      <c r="H146" s="82"/>
      <c r="I146" s="83"/>
      <c r="J146" s="29">
        <f>H146+I146</f>
        <v>0</v>
      </c>
      <c r="K146" s="82"/>
      <c r="L146" s="83"/>
      <c r="M146" s="29">
        <f>K146+L146</f>
        <v>0</v>
      </c>
      <c r="N146" s="82"/>
      <c r="O146" s="83"/>
      <c r="P146" s="29">
        <f>N146+O146</f>
        <v>0</v>
      </c>
      <c r="Q146" s="29">
        <f t="shared" si="30"/>
        <v>0</v>
      </c>
      <c r="R146" s="212"/>
      <c r="S146" s="212"/>
      <c r="Z146" s="216"/>
      <c r="AA146" s="216"/>
      <c r="IQ146" s="95"/>
      <c r="IR146" s="95"/>
      <c r="IS146" s="95"/>
      <c r="IT146" s="95"/>
      <c r="IU146" s="95"/>
    </row>
    <row r="147" spans="2:255" s="93" customFormat="1" ht="16.5" customHeight="1" hidden="1">
      <c r="B147" s="39"/>
      <c r="C147" s="28"/>
      <c r="D147" s="101">
        <f>D148+D149+D150</f>
        <v>6629</v>
      </c>
      <c r="E147" s="101">
        <v>0</v>
      </c>
      <c r="F147" s="102">
        <f aca="true" t="shared" si="34" ref="F147:P147">F148+F149+F150</f>
        <v>0</v>
      </c>
      <c r="G147" s="101">
        <f t="shared" si="34"/>
        <v>2380</v>
      </c>
      <c r="H147" s="101">
        <f t="shared" si="34"/>
        <v>212</v>
      </c>
      <c r="I147" s="101">
        <f t="shared" si="34"/>
        <v>0</v>
      </c>
      <c r="J147" s="101">
        <f t="shared" si="34"/>
        <v>4249</v>
      </c>
      <c r="K147" s="101">
        <f t="shared" si="34"/>
        <v>334</v>
      </c>
      <c r="L147" s="101">
        <f t="shared" si="34"/>
        <v>0</v>
      </c>
      <c r="M147" s="101">
        <f t="shared" si="34"/>
        <v>0</v>
      </c>
      <c r="N147" s="101">
        <f t="shared" si="34"/>
        <v>0</v>
      </c>
      <c r="O147" s="101">
        <f t="shared" si="34"/>
        <v>0</v>
      </c>
      <c r="P147" s="101">
        <f t="shared" si="34"/>
        <v>0</v>
      </c>
      <c r="Q147" s="29">
        <f t="shared" si="30"/>
        <v>6629</v>
      </c>
      <c r="R147" s="212"/>
      <c r="S147" s="212"/>
      <c r="Z147" s="216"/>
      <c r="AA147" s="216"/>
      <c r="IQ147" s="95"/>
      <c r="IR147" s="95"/>
      <c r="IS147" s="95"/>
      <c r="IT147" s="95"/>
      <c r="IU147" s="95"/>
    </row>
    <row r="148" spans="2:255" s="93" customFormat="1" ht="16.5" customHeight="1" hidden="1">
      <c r="B148" s="38" t="s">
        <v>68</v>
      </c>
      <c r="C148" s="65"/>
      <c r="D148" s="82">
        <f>G148+J148+M148+P148</f>
        <v>5890</v>
      </c>
      <c r="E148" s="82">
        <v>27</v>
      </c>
      <c r="F148" s="83"/>
      <c r="G148" s="29">
        <v>2000</v>
      </c>
      <c r="H148" s="82">
        <v>178</v>
      </c>
      <c r="I148" s="83"/>
      <c r="J148" s="29">
        <v>3890</v>
      </c>
      <c r="K148" s="82">
        <v>281</v>
      </c>
      <c r="L148" s="83"/>
      <c r="M148" s="29">
        <v>0</v>
      </c>
      <c r="N148" s="82"/>
      <c r="O148" s="83"/>
      <c r="P148" s="29">
        <v>0</v>
      </c>
      <c r="Q148" s="29">
        <f t="shared" si="30"/>
        <v>5890</v>
      </c>
      <c r="R148" s="212"/>
      <c r="S148" s="212"/>
      <c r="Z148" s="216"/>
      <c r="AA148" s="216"/>
      <c r="IQ148" s="95"/>
      <c r="IR148" s="95"/>
      <c r="IS148" s="95"/>
      <c r="IT148" s="95"/>
      <c r="IU148" s="95"/>
    </row>
    <row r="149" spans="2:255" s="93" customFormat="1" ht="16.5" customHeight="1" hidden="1">
      <c r="B149" s="38" t="s">
        <v>69</v>
      </c>
      <c r="C149" s="65"/>
      <c r="D149" s="82">
        <f>G149+J149+M149+P149</f>
        <v>0</v>
      </c>
      <c r="E149" s="82">
        <v>0</v>
      </c>
      <c r="F149" s="83"/>
      <c r="G149" s="29">
        <f>E149+F149</f>
        <v>0</v>
      </c>
      <c r="H149" s="82"/>
      <c r="I149" s="83"/>
      <c r="J149" s="29">
        <f>H149+I149</f>
        <v>0</v>
      </c>
      <c r="K149" s="82"/>
      <c r="L149" s="83"/>
      <c r="M149" s="29">
        <f>K149+L149</f>
        <v>0</v>
      </c>
      <c r="N149" s="82"/>
      <c r="O149" s="83"/>
      <c r="P149" s="29">
        <f>N149+O149</f>
        <v>0</v>
      </c>
      <c r="Q149" s="29">
        <f t="shared" si="30"/>
        <v>0</v>
      </c>
      <c r="R149" s="212"/>
      <c r="S149" s="212"/>
      <c r="Z149" s="216"/>
      <c r="AA149" s="216"/>
      <c r="IQ149" s="95"/>
      <c r="IR149" s="95"/>
      <c r="IS149" s="95"/>
      <c r="IT149" s="95"/>
      <c r="IU149" s="95"/>
    </row>
    <row r="150" spans="2:255" s="93" customFormat="1" ht="16.5" customHeight="1" hidden="1">
      <c r="B150" s="38" t="s">
        <v>70</v>
      </c>
      <c r="C150" s="65"/>
      <c r="D150" s="82">
        <f>G150+J150+M150+P150</f>
        <v>739</v>
      </c>
      <c r="E150" s="82">
        <v>5</v>
      </c>
      <c r="F150" s="83"/>
      <c r="G150" s="29">
        <v>380</v>
      </c>
      <c r="H150" s="82">
        <v>34</v>
      </c>
      <c r="I150" s="83"/>
      <c r="J150" s="29">
        <v>359</v>
      </c>
      <c r="K150" s="82">
        <v>53</v>
      </c>
      <c r="L150" s="83"/>
      <c r="M150" s="29">
        <v>0</v>
      </c>
      <c r="N150" s="82"/>
      <c r="O150" s="83"/>
      <c r="P150" s="29">
        <v>0</v>
      </c>
      <c r="Q150" s="29">
        <f t="shared" si="30"/>
        <v>739</v>
      </c>
      <c r="R150" s="212"/>
      <c r="S150" s="212"/>
      <c r="Z150" s="216"/>
      <c r="AA150" s="216"/>
      <c r="IQ150" s="95"/>
      <c r="IR150" s="95"/>
      <c r="IS150" s="95"/>
      <c r="IT150" s="95"/>
      <c r="IU150" s="95"/>
    </row>
    <row r="151" spans="1:255" s="93" customFormat="1" ht="47.25" customHeight="1">
      <c r="A151" s="93">
        <v>14</v>
      </c>
      <c r="B151" s="78" t="s">
        <v>55</v>
      </c>
      <c r="C151" s="23" t="s">
        <v>71</v>
      </c>
      <c r="D151" s="41">
        <f aca="true" t="shared" si="35" ref="D151:P151">D152+D153+D154</f>
        <v>11773</v>
      </c>
      <c r="E151" s="41">
        <f t="shared" si="35"/>
        <v>32</v>
      </c>
      <c r="F151" s="42">
        <f t="shared" si="35"/>
        <v>0</v>
      </c>
      <c r="G151" s="29">
        <f t="shared" si="35"/>
        <v>4760</v>
      </c>
      <c r="H151" s="29">
        <f t="shared" si="35"/>
        <v>212</v>
      </c>
      <c r="I151" s="29">
        <f t="shared" si="35"/>
        <v>0</v>
      </c>
      <c r="J151" s="29">
        <f t="shared" si="35"/>
        <v>7013</v>
      </c>
      <c r="K151" s="29">
        <f t="shared" si="35"/>
        <v>334</v>
      </c>
      <c r="L151" s="29">
        <f t="shared" si="35"/>
        <v>0</v>
      </c>
      <c r="M151" s="29">
        <f t="shared" si="35"/>
        <v>0</v>
      </c>
      <c r="N151" s="29">
        <f t="shared" si="35"/>
        <v>0</v>
      </c>
      <c r="O151" s="29">
        <f t="shared" si="35"/>
        <v>0</v>
      </c>
      <c r="P151" s="29">
        <f t="shared" si="35"/>
        <v>0</v>
      </c>
      <c r="Q151" s="29">
        <f t="shared" si="30"/>
        <v>11773</v>
      </c>
      <c r="R151" s="212"/>
      <c r="S151" s="212"/>
      <c r="Z151" s="233">
        <v>0</v>
      </c>
      <c r="AA151" s="226">
        <f>D151+Z151</f>
        <v>11773</v>
      </c>
      <c r="IQ151" s="95"/>
      <c r="IR151" s="95"/>
      <c r="IS151" s="95"/>
      <c r="IT151" s="95"/>
      <c r="IU151" s="95"/>
    </row>
    <row r="152" spans="2:255" s="93" customFormat="1" ht="16.5" customHeight="1">
      <c r="B152" s="43" t="s">
        <v>65</v>
      </c>
      <c r="C152" s="44"/>
      <c r="D152" s="82">
        <f>G152+J152+M152+P152</f>
        <v>9893</v>
      </c>
      <c r="E152" s="82">
        <v>27</v>
      </c>
      <c r="F152" s="83"/>
      <c r="G152" s="29">
        <v>4000</v>
      </c>
      <c r="H152" s="82">
        <v>178</v>
      </c>
      <c r="I152" s="83"/>
      <c r="J152" s="29">
        <v>5893</v>
      </c>
      <c r="K152" s="82">
        <v>281</v>
      </c>
      <c r="L152" s="83"/>
      <c r="M152" s="29">
        <v>0</v>
      </c>
      <c r="N152" s="82"/>
      <c r="O152" s="83"/>
      <c r="P152" s="29">
        <v>0</v>
      </c>
      <c r="Q152" s="29">
        <f t="shared" si="30"/>
        <v>9893</v>
      </c>
      <c r="R152" s="212"/>
      <c r="S152" s="212"/>
      <c r="Z152" s="209">
        <v>0</v>
      </c>
      <c r="AA152" s="130">
        <f>D152+Z152</f>
        <v>9893</v>
      </c>
      <c r="IQ152" s="95"/>
      <c r="IR152" s="95"/>
      <c r="IS152" s="95"/>
      <c r="IT152" s="95"/>
      <c r="IU152" s="95"/>
    </row>
    <row r="153" spans="2:255" s="93" customFormat="1" ht="16.5" customHeight="1">
      <c r="B153" s="43" t="s">
        <v>66</v>
      </c>
      <c r="C153" s="46"/>
      <c r="D153" s="82">
        <f>G153+J153+M153+P153</f>
        <v>0</v>
      </c>
      <c r="E153" s="82">
        <v>0</v>
      </c>
      <c r="F153" s="83"/>
      <c r="G153" s="29">
        <f>E153+F153</f>
        <v>0</v>
      </c>
      <c r="H153" s="82"/>
      <c r="I153" s="83"/>
      <c r="J153" s="29">
        <f>H153+I153</f>
        <v>0</v>
      </c>
      <c r="K153" s="82"/>
      <c r="L153" s="83"/>
      <c r="M153" s="29">
        <f>K153+L153</f>
        <v>0</v>
      </c>
      <c r="N153" s="82"/>
      <c r="O153" s="83"/>
      <c r="P153" s="29">
        <f>N153+O153</f>
        <v>0</v>
      </c>
      <c r="Q153" s="29">
        <f t="shared" si="30"/>
        <v>0</v>
      </c>
      <c r="R153" s="212"/>
      <c r="S153" s="212"/>
      <c r="Z153" s="209">
        <v>0</v>
      </c>
      <c r="AA153" s="130">
        <f>D153+Z153</f>
        <v>0</v>
      </c>
      <c r="IQ153" s="95"/>
      <c r="IR153" s="95"/>
      <c r="IS153" s="95"/>
      <c r="IT153" s="95"/>
      <c r="IU153" s="95"/>
    </row>
    <row r="154" spans="2:255" s="93" customFormat="1" ht="16.5" customHeight="1">
      <c r="B154" s="38" t="s">
        <v>67</v>
      </c>
      <c r="C154" s="47"/>
      <c r="D154" s="82">
        <f>G154+J154+M154+P154</f>
        <v>1880</v>
      </c>
      <c r="E154" s="82">
        <v>5</v>
      </c>
      <c r="F154" s="83"/>
      <c r="G154" s="29">
        <v>760</v>
      </c>
      <c r="H154" s="82">
        <v>34</v>
      </c>
      <c r="I154" s="83"/>
      <c r="J154" s="29">
        <v>1120</v>
      </c>
      <c r="K154" s="82">
        <v>53</v>
      </c>
      <c r="L154" s="83"/>
      <c r="M154" s="29">
        <v>0</v>
      </c>
      <c r="N154" s="82"/>
      <c r="O154" s="83"/>
      <c r="P154" s="29">
        <v>0</v>
      </c>
      <c r="Q154" s="29">
        <f t="shared" si="30"/>
        <v>1880</v>
      </c>
      <c r="R154" s="212"/>
      <c r="S154" s="212"/>
      <c r="Z154" s="209">
        <v>0</v>
      </c>
      <c r="AA154" s="130">
        <f>D154+Z154</f>
        <v>1880</v>
      </c>
      <c r="IQ154" s="95"/>
      <c r="IR154" s="95"/>
      <c r="IS154" s="95"/>
      <c r="IT154" s="95"/>
      <c r="IU154" s="95"/>
    </row>
    <row r="155" spans="2:255" s="93" customFormat="1" ht="16.5" customHeight="1" hidden="1">
      <c r="B155" s="38"/>
      <c r="C155" s="65"/>
      <c r="D155" s="82"/>
      <c r="E155" s="82"/>
      <c r="F155" s="83"/>
      <c r="G155" s="29">
        <f>E155+F155</f>
        <v>0</v>
      </c>
      <c r="H155" s="82"/>
      <c r="I155" s="83"/>
      <c r="J155" s="29">
        <f>H155+I155</f>
        <v>0</v>
      </c>
      <c r="K155" s="82"/>
      <c r="L155" s="83"/>
      <c r="M155" s="29">
        <f>K155+L155</f>
        <v>0</v>
      </c>
      <c r="N155" s="82"/>
      <c r="O155" s="83"/>
      <c r="P155" s="29">
        <f>N155+O155</f>
        <v>0</v>
      </c>
      <c r="Q155" s="29">
        <f t="shared" si="30"/>
        <v>0</v>
      </c>
      <c r="R155" s="212"/>
      <c r="S155" s="212"/>
      <c r="Z155" s="216"/>
      <c r="AA155" s="216"/>
      <c r="IQ155" s="95"/>
      <c r="IR155" s="95"/>
      <c r="IS155" s="95"/>
      <c r="IT155" s="95"/>
      <c r="IU155" s="95"/>
    </row>
    <row r="156" spans="2:255" s="93" customFormat="1" ht="16.5" customHeight="1" hidden="1">
      <c r="B156" s="39"/>
      <c r="C156" s="28"/>
      <c r="D156" s="101">
        <f>D157+D158+D159</f>
        <v>11773</v>
      </c>
      <c r="E156" s="101">
        <v>0</v>
      </c>
      <c r="F156" s="102">
        <f aca="true" t="shared" si="36" ref="F156:P156">F157+F158+F159</f>
        <v>0</v>
      </c>
      <c r="G156" s="101">
        <f t="shared" si="36"/>
        <v>4760</v>
      </c>
      <c r="H156" s="101">
        <f t="shared" si="36"/>
        <v>212</v>
      </c>
      <c r="I156" s="101">
        <f t="shared" si="36"/>
        <v>0</v>
      </c>
      <c r="J156" s="101">
        <f t="shared" si="36"/>
        <v>7013</v>
      </c>
      <c r="K156" s="101">
        <f t="shared" si="36"/>
        <v>334</v>
      </c>
      <c r="L156" s="101">
        <f t="shared" si="36"/>
        <v>0</v>
      </c>
      <c r="M156" s="101">
        <f t="shared" si="36"/>
        <v>0</v>
      </c>
      <c r="N156" s="101">
        <f t="shared" si="36"/>
        <v>0</v>
      </c>
      <c r="O156" s="101">
        <f t="shared" si="36"/>
        <v>0</v>
      </c>
      <c r="P156" s="101">
        <f t="shared" si="36"/>
        <v>0</v>
      </c>
      <c r="Q156" s="29">
        <f t="shared" si="30"/>
        <v>11773</v>
      </c>
      <c r="R156" s="212"/>
      <c r="S156" s="212"/>
      <c r="Z156" s="216"/>
      <c r="AA156" s="216"/>
      <c r="IQ156" s="95"/>
      <c r="IR156" s="95"/>
      <c r="IS156" s="95"/>
      <c r="IT156" s="95"/>
      <c r="IU156" s="95"/>
    </row>
    <row r="157" spans="2:255" s="93" customFormat="1" ht="16.5" customHeight="1" hidden="1">
      <c r="B157" s="38" t="s">
        <v>68</v>
      </c>
      <c r="C157" s="65"/>
      <c r="D157" s="82">
        <f>G157+J157+M157+P157</f>
        <v>9893</v>
      </c>
      <c r="E157" s="82">
        <v>27</v>
      </c>
      <c r="F157" s="83"/>
      <c r="G157" s="29">
        <v>4000</v>
      </c>
      <c r="H157" s="82">
        <v>178</v>
      </c>
      <c r="I157" s="83"/>
      <c r="J157" s="29">
        <v>5893</v>
      </c>
      <c r="K157" s="82">
        <v>281</v>
      </c>
      <c r="L157" s="83"/>
      <c r="M157" s="29">
        <v>0</v>
      </c>
      <c r="N157" s="82"/>
      <c r="O157" s="83"/>
      <c r="P157" s="29">
        <v>0</v>
      </c>
      <c r="Q157" s="29">
        <f t="shared" si="30"/>
        <v>9893</v>
      </c>
      <c r="R157" s="212"/>
      <c r="S157" s="212"/>
      <c r="Z157" s="216"/>
      <c r="AA157" s="216"/>
      <c r="IQ157" s="95"/>
      <c r="IR157" s="95"/>
      <c r="IS157" s="95"/>
      <c r="IT157" s="95"/>
      <c r="IU157" s="95"/>
    </row>
    <row r="158" spans="2:255" s="93" customFormat="1" ht="16.5" customHeight="1" hidden="1">
      <c r="B158" s="38" t="s">
        <v>69</v>
      </c>
      <c r="C158" s="65"/>
      <c r="D158" s="82">
        <f>G158+J158+M158+P158</f>
        <v>0</v>
      </c>
      <c r="E158" s="82">
        <v>0</v>
      </c>
      <c r="F158" s="83"/>
      <c r="G158" s="29">
        <f>E158+F158</f>
        <v>0</v>
      </c>
      <c r="H158" s="82"/>
      <c r="I158" s="83"/>
      <c r="J158" s="29">
        <f>H158+I158</f>
        <v>0</v>
      </c>
      <c r="K158" s="82"/>
      <c r="L158" s="83"/>
      <c r="M158" s="29">
        <f>K158+L158</f>
        <v>0</v>
      </c>
      <c r="N158" s="82"/>
      <c r="O158" s="83"/>
      <c r="P158" s="29">
        <f>N158+O158</f>
        <v>0</v>
      </c>
      <c r="Q158" s="29">
        <f t="shared" si="30"/>
        <v>0</v>
      </c>
      <c r="R158" s="212"/>
      <c r="S158" s="212"/>
      <c r="Z158" s="216"/>
      <c r="AA158" s="216"/>
      <c r="IQ158" s="95"/>
      <c r="IR158" s="95"/>
      <c r="IS158" s="95"/>
      <c r="IT158" s="95"/>
      <c r="IU158" s="95"/>
    </row>
    <row r="159" spans="2:255" s="93" customFormat="1" ht="16.5" customHeight="1" hidden="1">
      <c r="B159" s="38" t="s">
        <v>70</v>
      </c>
      <c r="C159" s="65"/>
      <c r="D159" s="82">
        <f>G159+J159+M159+P159</f>
        <v>1880</v>
      </c>
      <c r="E159" s="82">
        <v>5</v>
      </c>
      <c r="F159" s="83"/>
      <c r="G159" s="29">
        <v>760</v>
      </c>
      <c r="H159" s="82">
        <v>34</v>
      </c>
      <c r="I159" s="83"/>
      <c r="J159" s="29">
        <v>1120</v>
      </c>
      <c r="K159" s="82">
        <v>53</v>
      </c>
      <c r="L159" s="83"/>
      <c r="M159" s="29">
        <v>0</v>
      </c>
      <c r="N159" s="82"/>
      <c r="O159" s="83"/>
      <c r="P159" s="29">
        <v>0</v>
      </c>
      <c r="Q159" s="29">
        <f t="shared" si="30"/>
        <v>1880</v>
      </c>
      <c r="R159" s="212"/>
      <c r="S159" s="212"/>
      <c r="Z159" s="216"/>
      <c r="AA159" s="216"/>
      <c r="IQ159" s="95"/>
      <c r="IR159" s="95"/>
      <c r="IS159" s="95"/>
      <c r="IT159" s="95"/>
      <c r="IU159" s="95"/>
    </row>
    <row r="160" spans="1:255" s="93" customFormat="1" ht="47.25" customHeight="1">
      <c r="A160" s="93">
        <v>15</v>
      </c>
      <c r="B160" s="78" t="s">
        <v>60</v>
      </c>
      <c r="C160" s="23" t="s">
        <v>72</v>
      </c>
      <c r="D160" s="41">
        <f aca="true" t="shared" si="37" ref="D160:P160">D161+D162+D163</f>
        <v>17132</v>
      </c>
      <c r="E160" s="41">
        <f t="shared" si="37"/>
        <v>32</v>
      </c>
      <c r="F160" s="42">
        <f t="shared" si="37"/>
        <v>0</v>
      </c>
      <c r="G160" s="29">
        <f t="shared" si="37"/>
        <v>5950</v>
      </c>
      <c r="H160" s="29">
        <f t="shared" si="37"/>
        <v>212</v>
      </c>
      <c r="I160" s="29">
        <f t="shared" si="37"/>
        <v>0</v>
      </c>
      <c r="J160" s="29">
        <f t="shared" si="37"/>
        <v>11182</v>
      </c>
      <c r="K160" s="29">
        <f t="shared" si="37"/>
        <v>334</v>
      </c>
      <c r="L160" s="29">
        <f t="shared" si="37"/>
        <v>0</v>
      </c>
      <c r="M160" s="29">
        <f t="shared" si="37"/>
        <v>0</v>
      </c>
      <c r="N160" s="29">
        <f t="shared" si="37"/>
        <v>0</v>
      </c>
      <c r="O160" s="29">
        <f t="shared" si="37"/>
        <v>0</v>
      </c>
      <c r="P160" s="29">
        <f t="shared" si="37"/>
        <v>0</v>
      </c>
      <c r="Q160" s="29">
        <f t="shared" si="30"/>
        <v>17132</v>
      </c>
      <c r="R160" s="212"/>
      <c r="S160" s="212"/>
      <c r="Z160" s="233">
        <v>0</v>
      </c>
      <c r="AA160" s="226">
        <f>D160+Z160</f>
        <v>17132</v>
      </c>
      <c r="IQ160" s="95"/>
      <c r="IR160" s="95"/>
      <c r="IS160" s="95"/>
      <c r="IT160" s="95"/>
      <c r="IU160" s="95"/>
    </row>
    <row r="161" spans="2:255" s="93" customFormat="1" ht="16.5" customHeight="1">
      <c r="B161" s="43" t="s">
        <v>65</v>
      </c>
      <c r="C161" s="44"/>
      <c r="D161" s="82">
        <f>G161+J161+M161+P161</f>
        <v>14396</v>
      </c>
      <c r="E161" s="82">
        <v>27</v>
      </c>
      <c r="F161" s="83"/>
      <c r="G161" s="29">
        <v>5000</v>
      </c>
      <c r="H161" s="82">
        <v>178</v>
      </c>
      <c r="I161" s="83"/>
      <c r="J161" s="29">
        <v>9396</v>
      </c>
      <c r="K161" s="82">
        <v>281</v>
      </c>
      <c r="L161" s="83"/>
      <c r="M161" s="29">
        <v>0</v>
      </c>
      <c r="N161" s="82"/>
      <c r="O161" s="83"/>
      <c r="P161" s="29">
        <v>0</v>
      </c>
      <c r="Q161" s="29">
        <f t="shared" si="30"/>
        <v>14396</v>
      </c>
      <c r="R161" s="212"/>
      <c r="S161" s="212"/>
      <c r="Z161" s="209">
        <v>0</v>
      </c>
      <c r="AA161" s="130">
        <f>D161+Z161</f>
        <v>14396</v>
      </c>
      <c r="IQ161" s="95"/>
      <c r="IR161" s="95"/>
      <c r="IS161" s="95"/>
      <c r="IT161" s="95"/>
      <c r="IU161" s="95"/>
    </row>
    <row r="162" spans="2:255" s="93" customFormat="1" ht="16.5" customHeight="1">
      <c r="B162" s="43" t="s">
        <v>66</v>
      </c>
      <c r="C162" s="46"/>
      <c r="D162" s="82">
        <f>G162+J162+M162+P162</f>
        <v>0</v>
      </c>
      <c r="E162" s="82">
        <v>0</v>
      </c>
      <c r="F162" s="83"/>
      <c r="G162" s="29">
        <f>E162+F162</f>
        <v>0</v>
      </c>
      <c r="H162" s="82"/>
      <c r="I162" s="83"/>
      <c r="J162" s="29">
        <f>H162+I162</f>
        <v>0</v>
      </c>
      <c r="K162" s="82"/>
      <c r="L162" s="83"/>
      <c r="M162" s="29">
        <f>K162+L162</f>
        <v>0</v>
      </c>
      <c r="N162" s="82"/>
      <c r="O162" s="83"/>
      <c r="P162" s="29">
        <f>N162+O162</f>
        <v>0</v>
      </c>
      <c r="Q162" s="29">
        <f aca="true" t="shared" si="38" ref="Q162:Q181">G162+J162+M162+P162</f>
        <v>0</v>
      </c>
      <c r="R162" s="212"/>
      <c r="S162" s="212"/>
      <c r="Z162" s="209">
        <v>0</v>
      </c>
      <c r="AA162" s="130">
        <f>D162+Z162</f>
        <v>0</v>
      </c>
      <c r="IQ162" s="95"/>
      <c r="IR162" s="95"/>
      <c r="IS162" s="95"/>
      <c r="IT162" s="95"/>
      <c r="IU162" s="95"/>
    </row>
    <row r="163" spans="2:255" s="93" customFormat="1" ht="16.5" customHeight="1">
      <c r="B163" s="38" t="s">
        <v>67</v>
      </c>
      <c r="C163" s="47"/>
      <c r="D163" s="82">
        <f>G163+J163+M163+P163</f>
        <v>2736</v>
      </c>
      <c r="E163" s="82">
        <v>5</v>
      </c>
      <c r="F163" s="83"/>
      <c r="G163" s="29">
        <v>950</v>
      </c>
      <c r="H163" s="82">
        <v>34</v>
      </c>
      <c r="I163" s="83"/>
      <c r="J163" s="29">
        <v>1786</v>
      </c>
      <c r="K163" s="82">
        <v>53</v>
      </c>
      <c r="L163" s="83"/>
      <c r="M163" s="29">
        <v>0</v>
      </c>
      <c r="N163" s="82"/>
      <c r="O163" s="83"/>
      <c r="P163" s="29">
        <v>0</v>
      </c>
      <c r="Q163" s="29">
        <f t="shared" si="38"/>
        <v>2736</v>
      </c>
      <c r="R163" s="212"/>
      <c r="S163" s="212"/>
      <c r="Z163" s="209">
        <v>0</v>
      </c>
      <c r="AA163" s="130">
        <f>D163+Z163</f>
        <v>2736</v>
      </c>
      <c r="IQ163" s="95"/>
      <c r="IR163" s="95"/>
      <c r="IS163" s="95"/>
      <c r="IT163" s="95"/>
      <c r="IU163" s="95"/>
    </row>
    <row r="164" spans="2:255" s="93" customFormat="1" ht="16.5" customHeight="1" hidden="1">
      <c r="B164" s="38"/>
      <c r="C164" s="65"/>
      <c r="D164" s="82"/>
      <c r="E164" s="82"/>
      <c r="F164" s="83"/>
      <c r="G164" s="29">
        <f>E164+F164</f>
        <v>0</v>
      </c>
      <c r="H164" s="82"/>
      <c r="I164" s="83"/>
      <c r="J164" s="29">
        <f>H164+I164</f>
        <v>0</v>
      </c>
      <c r="K164" s="82"/>
      <c r="L164" s="83"/>
      <c r="M164" s="29">
        <f>K164+L164</f>
        <v>0</v>
      </c>
      <c r="N164" s="82"/>
      <c r="O164" s="83"/>
      <c r="P164" s="29">
        <f>N164+O164</f>
        <v>0</v>
      </c>
      <c r="Q164" s="29">
        <f t="shared" si="38"/>
        <v>0</v>
      </c>
      <c r="R164" s="212"/>
      <c r="S164" s="212"/>
      <c r="Z164" s="216"/>
      <c r="AA164" s="216"/>
      <c r="IQ164" s="95"/>
      <c r="IR164" s="95"/>
      <c r="IS164" s="95"/>
      <c r="IT164" s="95"/>
      <c r="IU164" s="95"/>
    </row>
    <row r="165" spans="2:255" s="93" customFormat="1" ht="16.5" customHeight="1" hidden="1">
      <c r="B165" s="39"/>
      <c r="C165" s="28"/>
      <c r="D165" s="101">
        <f>D166+D167+D168</f>
        <v>17132</v>
      </c>
      <c r="E165" s="101">
        <v>0</v>
      </c>
      <c r="F165" s="102">
        <f aca="true" t="shared" si="39" ref="F165:P165">F166+F167+F168</f>
        <v>0</v>
      </c>
      <c r="G165" s="101">
        <f t="shared" si="39"/>
        <v>5950</v>
      </c>
      <c r="H165" s="101">
        <f t="shared" si="39"/>
        <v>212</v>
      </c>
      <c r="I165" s="101">
        <f t="shared" si="39"/>
        <v>0</v>
      </c>
      <c r="J165" s="101">
        <f t="shared" si="39"/>
        <v>11182</v>
      </c>
      <c r="K165" s="101">
        <f t="shared" si="39"/>
        <v>334</v>
      </c>
      <c r="L165" s="101">
        <f t="shared" si="39"/>
        <v>0</v>
      </c>
      <c r="M165" s="101">
        <f t="shared" si="39"/>
        <v>0</v>
      </c>
      <c r="N165" s="101">
        <f t="shared" si="39"/>
        <v>0</v>
      </c>
      <c r="O165" s="101">
        <f t="shared" si="39"/>
        <v>0</v>
      </c>
      <c r="P165" s="101">
        <f t="shared" si="39"/>
        <v>0</v>
      </c>
      <c r="Q165" s="29">
        <f t="shared" si="38"/>
        <v>17132</v>
      </c>
      <c r="R165" s="212"/>
      <c r="S165" s="212"/>
      <c r="Z165" s="216"/>
      <c r="AA165" s="216"/>
      <c r="IQ165" s="95"/>
      <c r="IR165" s="95"/>
      <c r="IS165" s="95"/>
      <c r="IT165" s="95"/>
      <c r="IU165" s="95"/>
    </row>
    <row r="166" spans="2:255" s="93" customFormat="1" ht="16.5" customHeight="1" hidden="1">
      <c r="B166" s="38" t="s">
        <v>68</v>
      </c>
      <c r="C166" s="65"/>
      <c r="D166" s="82">
        <f>G166+J166+M166+P166</f>
        <v>14396</v>
      </c>
      <c r="E166" s="82">
        <v>27</v>
      </c>
      <c r="F166" s="83"/>
      <c r="G166" s="29">
        <v>5000</v>
      </c>
      <c r="H166" s="82">
        <v>178</v>
      </c>
      <c r="I166" s="83"/>
      <c r="J166" s="29">
        <v>9396</v>
      </c>
      <c r="K166" s="82">
        <v>281</v>
      </c>
      <c r="L166" s="83"/>
      <c r="M166" s="29">
        <v>0</v>
      </c>
      <c r="N166" s="82"/>
      <c r="O166" s="83"/>
      <c r="P166" s="29">
        <v>0</v>
      </c>
      <c r="Q166" s="29">
        <f t="shared" si="38"/>
        <v>14396</v>
      </c>
      <c r="R166" s="212"/>
      <c r="S166" s="212"/>
      <c r="Z166" s="216"/>
      <c r="AA166" s="216"/>
      <c r="IQ166" s="95"/>
      <c r="IR166" s="95"/>
      <c r="IS166" s="95"/>
      <c r="IT166" s="95"/>
      <c r="IU166" s="95"/>
    </row>
    <row r="167" spans="2:255" s="93" customFormat="1" ht="16.5" customHeight="1" hidden="1">
      <c r="B167" s="38" t="s">
        <v>69</v>
      </c>
      <c r="C167" s="65"/>
      <c r="D167" s="82">
        <f>G167+J167+M167+P167</f>
        <v>0</v>
      </c>
      <c r="E167" s="82">
        <v>0</v>
      </c>
      <c r="F167" s="83"/>
      <c r="G167" s="29">
        <f>E167+F167</f>
        <v>0</v>
      </c>
      <c r="H167" s="82"/>
      <c r="I167" s="83"/>
      <c r="J167" s="29">
        <f>H167+I167</f>
        <v>0</v>
      </c>
      <c r="K167" s="82"/>
      <c r="L167" s="83"/>
      <c r="M167" s="29">
        <f>K167+L167</f>
        <v>0</v>
      </c>
      <c r="N167" s="82"/>
      <c r="O167" s="83"/>
      <c r="P167" s="29">
        <f>N167+O167</f>
        <v>0</v>
      </c>
      <c r="Q167" s="29">
        <f t="shared" si="38"/>
        <v>0</v>
      </c>
      <c r="R167" s="212"/>
      <c r="S167" s="212"/>
      <c r="Z167" s="216"/>
      <c r="AA167" s="216"/>
      <c r="IQ167" s="95"/>
      <c r="IR167" s="95"/>
      <c r="IS167" s="95"/>
      <c r="IT167" s="95"/>
      <c r="IU167" s="95"/>
    </row>
    <row r="168" spans="2:255" s="93" customFormat="1" ht="16.5" customHeight="1" hidden="1">
      <c r="B168" s="38" t="s">
        <v>70</v>
      </c>
      <c r="C168" s="65"/>
      <c r="D168" s="82">
        <f>G168+J168+M168+P168</f>
        <v>2736</v>
      </c>
      <c r="E168" s="82">
        <v>5</v>
      </c>
      <c r="F168" s="83"/>
      <c r="G168" s="29">
        <v>950</v>
      </c>
      <c r="H168" s="82">
        <v>34</v>
      </c>
      <c r="I168" s="83"/>
      <c r="J168" s="29">
        <v>1786</v>
      </c>
      <c r="K168" s="82">
        <v>53</v>
      </c>
      <c r="L168" s="83"/>
      <c r="M168" s="29">
        <v>0</v>
      </c>
      <c r="N168" s="82"/>
      <c r="O168" s="83"/>
      <c r="P168" s="29">
        <v>0</v>
      </c>
      <c r="Q168" s="29">
        <f t="shared" si="38"/>
        <v>2736</v>
      </c>
      <c r="R168" s="212"/>
      <c r="S168" s="212"/>
      <c r="Z168" s="216"/>
      <c r="AA168" s="216"/>
      <c r="IQ168" s="95"/>
      <c r="IR168" s="95"/>
      <c r="IS168" s="95"/>
      <c r="IT168" s="95"/>
      <c r="IU168" s="95"/>
    </row>
    <row r="169" spans="1:255" s="93" customFormat="1" ht="47.25" customHeight="1">
      <c r="A169" s="93">
        <v>16</v>
      </c>
      <c r="B169" s="78" t="s">
        <v>73</v>
      </c>
      <c r="C169" s="23" t="s">
        <v>74</v>
      </c>
      <c r="D169" s="41">
        <f aca="true" t="shared" si="40" ref="D169:P169">D170+D171+D172</f>
        <v>4485</v>
      </c>
      <c r="E169" s="41">
        <f t="shared" si="40"/>
        <v>32</v>
      </c>
      <c r="F169" s="42">
        <f t="shared" si="40"/>
        <v>0</v>
      </c>
      <c r="G169" s="29">
        <f t="shared" si="40"/>
        <v>2380</v>
      </c>
      <c r="H169" s="29">
        <f t="shared" si="40"/>
        <v>212</v>
      </c>
      <c r="I169" s="29">
        <f t="shared" si="40"/>
        <v>0</v>
      </c>
      <c r="J169" s="29">
        <f t="shared" si="40"/>
        <v>2105</v>
      </c>
      <c r="K169" s="29">
        <f t="shared" si="40"/>
        <v>334</v>
      </c>
      <c r="L169" s="29">
        <f t="shared" si="40"/>
        <v>0</v>
      </c>
      <c r="M169" s="29">
        <f t="shared" si="40"/>
        <v>0</v>
      </c>
      <c r="N169" s="29">
        <f t="shared" si="40"/>
        <v>0</v>
      </c>
      <c r="O169" s="29">
        <f t="shared" si="40"/>
        <v>0</v>
      </c>
      <c r="P169" s="29">
        <f t="shared" si="40"/>
        <v>0</v>
      </c>
      <c r="Q169" s="29">
        <f t="shared" si="38"/>
        <v>4485</v>
      </c>
      <c r="R169" s="212"/>
      <c r="S169" s="212"/>
      <c r="Z169" s="233">
        <v>0</v>
      </c>
      <c r="AA169" s="226">
        <f>D169+Z169</f>
        <v>4485</v>
      </c>
      <c r="IQ169" s="95"/>
      <c r="IR169" s="95"/>
      <c r="IS169" s="95"/>
      <c r="IT169" s="95"/>
      <c r="IU169" s="95"/>
    </row>
    <row r="170" spans="2:255" s="93" customFormat="1" ht="16.5" customHeight="1">
      <c r="B170" s="43" t="s">
        <v>65</v>
      </c>
      <c r="C170" s="44"/>
      <c r="D170" s="82">
        <f>G170+J170+M170+P170</f>
        <v>3769</v>
      </c>
      <c r="E170" s="82">
        <v>27</v>
      </c>
      <c r="F170" s="83"/>
      <c r="G170" s="29">
        <v>2000</v>
      </c>
      <c r="H170" s="82">
        <v>178</v>
      </c>
      <c r="I170" s="83"/>
      <c r="J170" s="29">
        <v>1769</v>
      </c>
      <c r="K170" s="82">
        <v>281</v>
      </c>
      <c r="L170" s="83"/>
      <c r="M170" s="29">
        <v>0</v>
      </c>
      <c r="N170" s="82"/>
      <c r="O170" s="83"/>
      <c r="P170" s="29">
        <v>0</v>
      </c>
      <c r="Q170" s="29">
        <f t="shared" si="38"/>
        <v>3769</v>
      </c>
      <c r="R170" s="212"/>
      <c r="S170" s="212"/>
      <c r="Z170" s="209">
        <v>0</v>
      </c>
      <c r="AA170" s="130">
        <f>D170+Z170</f>
        <v>3769</v>
      </c>
      <c r="IQ170" s="95"/>
      <c r="IR170" s="95"/>
      <c r="IS170" s="95"/>
      <c r="IT170" s="95"/>
      <c r="IU170" s="95"/>
    </row>
    <row r="171" spans="2:255" s="93" customFormat="1" ht="16.5" customHeight="1">
      <c r="B171" s="43" t="s">
        <v>66</v>
      </c>
      <c r="C171" s="46"/>
      <c r="D171" s="82">
        <f>G171+J171+M171+P171</f>
        <v>0</v>
      </c>
      <c r="E171" s="82">
        <v>0</v>
      </c>
      <c r="F171" s="83"/>
      <c r="G171" s="29">
        <f>E171+F171</f>
        <v>0</v>
      </c>
      <c r="H171" s="82"/>
      <c r="I171" s="83"/>
      <c r="J171" s="29">
        <f>H171+I171</f>
        <v>0</v>
      </c>
      <c r="K171" s="82"/>
      <c r="L171" s="83"/>
      <c r="M171" s="29">
        <f>K171+L171</f>
        <v>0</v>
      </c>
      <c r="N171" s="82"/>
      <c r="O171" s="83"/>
      <c r="P171" s="29">
        <f>N171+O171</f>
        <v>0</v>
      </c>
      <c r="Q171" s="29">
        <f t="shared" si="38"/>
        <v>0</v>
      </c>
      <c r="R171" s="212"/>
      <c r="S171" s="212"/>
      <c r="Z171" s="209">
        <v>0</v>
      </c>
      <c r="AA171" s="130">
        <f>D171+Z171</f>
        <v>0</v>
      </c>
      <c r="IQ171" s="95"/>
      <c r="IR171" s="95"/>
      <c r="IS171" s="95"/>
      <c r="IT171" s="95"/>
      <c r="IU171" s="95"/>
    </row>
    <row r="172" spans="2:255" s="93" customFormat="1" ht="16.5" customHeight="1">
      <c r="B172" s="38" t="s">
        <v>67</v>
      </c>
      <c r="C172" s="47"/>
      <c r="D172" s="82">
        <f>G172+J172+M172+P172</f>
        <v>716</v>
      </c>
      <c r="E172" s="82">
        <v>5</v>
      </c>
      <c r="F172" s="83"/>
      <c r="G172" s="29">
        <v>380</v>
      </c>
      <c r="H172" s="82">
        <v>34</v>
      </c>
      <c r="I172" s="83"/>
      <c r="J172" s="29">
        <v>336</v>
      </c>
      <c r="K172" s="82">
        <v>53</v>
      </c>
      <c r="L172" s="83"/>
      <c r="M172" s="29">
        <v>0</v>
      </c>
      <c r="N172" s="82"/>
      <c r="O172" s="83"/>
      <c r="P172" s="29">
        <v>0</v>
      </c>
      <c r="Q172" s="29">
        <f t="shared" si="38"/>
        <v>716</v>
      </c>
      <c r="R172" s="212"/>
      <c r="S172" s="212"/>
      <c r="Z172" s="209">
        <v>0</v>
      </c>
      <c r="AA172" s="130">
        <f>D172+Z172</f>
        <v>716</v>
      </c>
      <c r="IQ172" s="95"/>
      <c r="IR172" s="95"/>
      <c r="IS172" s="95"/>
      <c r="IT172" s="95"/>
      <c r="IU172" s="95"/>
    </row>
    <row r="173" spans="2:255" s="93" customFormat="1" ht="16.5" customHeight="1" hidden="1">
      <c r="B173" s="38"/>
      <c r="C173" s="65"/>
      <c r="D173" s="82"/>
      <c r="E173" s="82"/>
      <c r="F173" s="83"/>
      <c r="G173" s="29">
        <f>E173+F173</f>
        <v>0</v>
      </c>
      <c r="H173" s="82"/>
      <c r="I173" s="83"/>
      <c r="J173" s="29">
        <f>H173+I173</f>
        <v>0</v>
      </c>
      <c r="K173" s="82"/>
      <c r="L173" s="83"/>
      <c r="M173" s="29">
        <f>K173+L173</f>
        <v>0</v>
      </c>
      <c r="N173" s="82"/>
      <c r="O173" s="83"/>
      <c r="P173" s="29">
        <f>N173+O173</f>
        <v>0</v>
      </c>
      <c r="Q173" s="29">
        <f t="shared" si="38"/>
        <v>0</v>
      </c>
      <c r="R173" s="212"/>
      <c r="S173" s="212"/>
      <c r="Z173" s="216"/>
      <c r="AA173" s="216"/>
      <c r="IQ173" s="95"/>
      <c r="IR173" s="95"/>
      <c r="IS173" s="95"/>
      <c r="IT173" s="95"/>
      <c r="IU173" s="95"/>
    </row>
    <row r="174" spans="2:255" s="93" customFormat="1" ht="16.5" customHeight="1" hidden="1">
      <c r="B174" s="39"/>
      <c r="C174" s="28"/>
      <c r="D174" s="101">
        <f>D175+D176+D177</f>
        <v>4485</v>
      </c>
      <c r="E174" s="101">
        <v>0</v>
      </c>
      <c r="F174" s="102">
        <f aca="true" t="shared" si="41" ref="F174:P174">F175+F176+F177</f>
        <v>0</v>
      </c>
      <c r="G174" s="101">
        <f t="shared" si="41"/>
        <v>2380</v>
      </c>
      <c r="H174" s="101">
        <f t="shared" si="41"/>
        <v>212</v>
      </c>
      <c r="I174" s="101">
        <f t="shared" si="41"/>
        <v>0</v>
      </c>
      <c r="J174" s="101">
        <f t="shared" si="41"/>
        <v>2105</v>
      </c>
      <c r="K174" s="101">
        <f t="shared" si="41"/>
        <v>334</v>
      </c>
      <c r="L174" s="101">
        <f t="shared" si="41"/>
        <v>0</v>
      </c>
      <c r="M174" s="101">
        <f t="shared" si="41"/>
        <v>0</v>
      </c>
      <c r="N174" s="101">
        <f t="shared" si="41"/>
        <v>0</v>
      </c>
      <c r="O174" s="101">
        <f t="shared" si="41"/>
        <v>0</v>
      </c>
      <c r="P174" s="101">
        <f t="shared" si="41"/>
        <v>0</v>
      </c>
      <c r="Q174" s="29">
        <f t="shared" si="38"/>
        <v>4485</v>
      </c>
      <c r="R174" s="212"/>
      <c r="S174" s="212"/>
      <c r="Z174" s="216"/>
      <c r="AA174" s="216"/>
      <c r="IQ174" s="95"/>
      <c r="IR174" s="95"/>
      <c r="IS174" s="95"/>
      <c r="IT174" s="95"/>
      <c r="IU174" s="95"/>
    </row>
    <row r="175" spans="2:255" s="93" customFormat="1" ht="16.5" customHeight="1" hidden="1">
      <c r="B175" s="38" t="s">
        <v>68</v>
      </c>
      <c r="C175" s="65"/>
      <c r="D175" s="82">
        <f>G175+J175+M175+P175</f>
        <v>3769</v>
      </c>
      <c r="E175" s="82">
        <v>27</v>
      </c>
      <c r="F175" s="83"/>
      <c r="G175" s="29">
        <v>2000</v>
      </c>
      <c r="H175" s="82">
        <v>178</v>
      </c>
      <c r="I175" s="83"/>
      <c r="J175" s="29">
        <v>1769</v>
      </c>
      <c r="K175" s="82">
        <v>281</v>
      </c>
      <c r="L175" s="83"/>
      <c r="M175" s="29">
        <v>0</v>
      </c>
      <c r="N175" s="82"/>
      <c r="O175" s="83"/>
      <c r="P175" s="29">
        <v>0</v>
      </c>
      <c r="Q175" s="29">
        <f t="shared" si="38"/>
        <v>3769</v>
      </c>
      <c r="R175" s="212"/>
      <c r="S175" s="212"/>
      <c r="Z175" s="216"/>
      <c r="AA175" s="216"/>
      <c r="IQ175" s="95"/>
      <c r="IR175" s="95"/>
      <c r="IS175" s="95"/>
      <c r="IT175" s="95"/>
      <c r="IU175" s="95"/>
    </row>
    <row r="176" spans="2:255" s="93" customFormat="1" ht="16.5" customHeight="1" hidden="1">
      <c r="B176" s="38" t="s">
        <v>69</v>
      </c>
      <c r="C176" s="65"/>
      <c r="D176" s="82">
        <f>G176+J176+M176+P176</f>
        <v>0</v>
      </c>
      <c r="E176" s="82">
        <v>0</v>
      </c>
      <c r="F176" s="83"/>
      <c r="G176" s="29">
        <f>E176+F176</f>
        <v>0</v>
      </c>
      <c r="H176" s="82"/>
      <c r="I176" s="83"/>
      <c r="J176" s="29">
        <f>H176+I176</f>
        <v>0</v>
      </c>
      <c r="K176" s="82"/>
      <c r="L176" s="83"/>
      <c r="M176" s="29">
        <f>K176+L176</f>
        <v>0</v>
      </c>
      <c r="N176" s="82"/>
      <c r="O176" s="83"/>
      <c r="P176" s="29">
        <f>N176+O176</f>
        <v>0</v>
      </c>
      <c r="Q176" s="29">
        <f t="shared" si="38"/>
        <v>0</v>
      </c>
      <c r="R176" s="212"/>
      <c r="S176" s="212"/>
      <c r="Z176" s="216"/>
      <c r="AA176" s="216"/>
      <c r="IQ176" s="95"/>
      <c r="IR176" s="95"/>
      <c r="IS176" s="95"/>
      <c r="IT176" s="95"/>
      <c r="IU176" s="95"/>
    </row>
    <row r="177" spans="2:255" s="93" customFormat="1" ht="16.5" customHeight="1" hidden="1">
      <c r="B177" s="38" t="s">
        <v>70</v>
      </c>
      <c r="C177" s="65"/>
      <c r="D177" s="82">
        <f>G177+J177+M177+P177</f>
        <v>716</v>
      </c>
      <c r="E177" s="82">
        <v>5</v>
      </c>
      <c r="F177" s="83"/>
      <c r="G177" s="29">
        <v>380</v>
      </c>
      <c r="H177" s="82">
        <v>34</v>
      </c>
      <c r="I177" s="83"/>
      <c r="J177" s="29">
        <v>336</v>
      </c>
      <c r="K177" s="82">
        <v>53</v>
      </c>
      <c r="L177" s="83"/>
      <c r="M177" s="29">
        <v>0</v>
      </c>
      <c r="N177" s="82"/>
      <c r="O177" s="83"/>
      <c r="P177" s="29">
        <v>0</v>
      </c>
      <c r="Q177" s="29">
        <f t="shared" si="38"/>
        <v>716</v>
      </c>
      <c r="R177" s="212"/>
      <c r="S177" s="212"/>
      <c r="Z177" s="216"/>
      <c r="AA177" s="216"/>
      <c r="IQ177" s="95"/>
      <c r="IR177" s="95"/>
      <c r="IS177" s="95"/>
      <c r="IT177" s="95"/>
      <c r="IU177" s="95"/>
    </row>
    <row r="178" spans="1:255" s="93" customFormat="1" ht="27.75" customHeight="1">
      <c r="A178" s="93">
        <v>17</v>
      </c>
      <c r="B178" s="104" t="s">
        <v>60</v>
      </c>
      <c r="C178" s="28" t="s">
        <v>75</v>
      </c>
      <c r="D178" s="41">
        <f>D179+D180+D181</f>
        <v>200</v>
      </c>
      <c r="E178" s="101">
        <f>E179+E180+E181</f>
        <v>0</v>
      </c>
      <c r="F178" s="102">
        <f>F179+F180+F181</f>
        <v>0</v>
      </c>
      <c r="G178" s="29">
        <f>G179+G180+G181</f>
        <v>200</v>
      </c>
      <c r="H178" s="101">
        <f>H179+H180+H181</f>
        <v>0</v>
      </c>
      <c r="I178" s="102"/>
      <c r="J178" s="29">
        <f>H178+I178</f>
        <v>0</v>
      </c>
      <c r="K178" s="101">
        <f>K179+K180+K181</f>
        <v>0</v>
      </c>
      <c r="L178" s="102"/>
      <c r="M178" s="29">
        <f>K178+L178</f>
        <v>0</v>
      </c>
      <c r="N178" s="101">
        <f>N179+N180+N181</f>
        <v>0</v>
      </c>
      <c r="O178" s="102">
        <f>O179+O180</f>
        <v>200</v>
      </c>
      <c r="P178" s="29">
        <v>0</v>
      </c>
      <c r="Q178" s="29">
        <f t="shared" si="38"/>
        <v>200</v>
      </c>
      <c r="R178" s="212"/>
      <c r="S178" s="212"/>
      <c r="Z178" s="233">
        <v>0</v>
      </c>
      <c r="AA178" s="226">
        <f>D178+Z178</f>
        <v>200</v>
      </c>
      <c r="IQ178" s="95"/>
      <c r="IR178" s="95"/>
      <c r="IS178" s="95"/>
      <c r="IT178" s="95"/>
      <c r="IU178" s="95"/>
    </row>
    <row r="179" spans="2:255" s="93" customFormat="1" ht="16.5" customHeight="1">
      <c r="B179" s="43" t="s">
        <v>35</v>
      </c>
      <c r="C179" s="44"/>
      <c r="D179" s="45">
        <f>G179+J179+M179+P179</f>
        <v>30</v>
      </c>
      <c r="E179" s="82">
        <v>0</v>
      </c>
      <c r="F179" s="83"/>
      <c r="G179" s="29">
        <v>30</v>
      </c>
      <c r="H179" s="82">
        <v>0</v>
      </c>
      <c r="I179" s="83"/>
      <c r="J179" s="29">
        <f>H179+I179</f>
        <v>0</v>
      </c>
      <c r="K179" s="82">
        <v>0</v>
      </c>
      <c r="L179" s="83"/>
      <c r="M179" s="29">
        <f>K179+L179</f>
        <v>0</v>
      </c>
      <c r="N179" s="82">
        <v>0</v>
      </c>
      <c r="O179" s="83">
        <v>0</v>
      </c>
      <c r="P179" s="29">
        <f>N179+O179</f>
        <v>0</v>
      </c>
      <c r="Q179" s="29">
        <f t="shared" si="38"/>
        <v>30</v>
      </c>
      <c r="R179" s="212"/>
      <c r="S179" s="212"/>
      <c r="Z179" s="209">
        <v>0</v>
      </c>
      <c r="AA179" s="130">
        <f>D179+Z179</f>
        <v>30</v>
      </c>
      <c r="IQ179" s="95"/>
      <c r="IR179" s="95"/>
      <c r="IS179" s="95"/>
      <c r="IT179" s="95"/>
      <c r="IU179" s="95"/>
    </row>
    <row r="180" spans="2:255" s="93" customFormat="1" ht="16.5" customHeight="1">
      <c r="B180" s="38" t="s">
        <v>36</v>
      </c>
      <c r="C180" s="46"/>
      <c r="D180" s="45">
        <f>G180+J180+M180+P180</f>
        <v>170</v>
      </c>
      <c r="E180" s="82">
        <v>0</v>
      </c>
      <c r="F180" s="83"/>
      <c r="G180" s="29">
        <v>170</v>
      </c>
      <c r="H180" s="82">
        <v>0</v>
      </c>
      <c r="I180" s="83"/>
      <c r="J180" s="29">
        <f>H180+I180</f>
        <v>0</v>
      </c>
      <c r="K180" s="82">
        <v>0</v>
      </c>
      <c r="L180" s="83"/>
      <c r="M180" s="29">
        <f>K180+L180</f>
        <v>0</v>
      </c>
      <c r="N180" s="82">
        <v>0</v>
      </c>
      <c r="O180" s="83">
        <v>200</v>
      </c>
      <c r="P180" s="29">
        <v>0</v>
      </c>
      <c r="Q180" s="29">
        <f t="shared" si="38"/>
        <v>170</v>
      </c>
      <c r="R180" s="212"/>
      <c r="S180" s="212"/>
      <c r="Z180" s="209">
        <v>0</v>
      </c>
      <c r="AA180" s="130">
        <f>D180+Z180</f>
        <v>170</v>
      </c>
      <c r="IQ180" s="95"/>
      <c r="IR180" s="95"/>
      <c r="IS180" s="95"/>
      <c r="IT180" s="95"/>
      <c r="IU180" s="95"/>
    </row>
    <row r="181" spans="2:255" s="93" customFormat="1" ht="15.75" customHeight="1">
      <c r="B181" s="38" t="s">
        <v>37</v>
      </c>
      <c r="C181" s="47"/>
      <c r="D181" s="45">
        <f>G181+J181+M181+P181</f>
        <v>0</v>
      </c>
      <c r="E181" s="82">
        <v>0</v>
      </c>
      <c r="F181" s="83"/>
      <c r="G181" s="29">
        <v>0</v>
      </c>
      <c r="H181" s="82">
        <v>0</v>
      </c>
      <c r="I181" s="83"/>
      <c r="J181" s="29">
        <f>H181+I181</f>
        <v>0</v>
      </c>
      <c r="K181" s="82">
        <v>0</v>
      </c>
      <c r="L181" s="83"/>
      <c r="M181" s="29">
        <f>K181+L181</f>
        <v>0</v>
      </c>
      <c r="N181" s="82">
        <v>0</v>
      </c>
      <c r="O181" s="83"/>
      <c r="P181" s="29">
        <f>N181+O181</f>
        <v>0</v>
      </c>
      <c r="Q181" s="29">
        <f t="shared" si="38"/>
        <v>0</v>
      </c>
      <c r="R181" s="212"/>
      <c r="S181" s="212"/>
      <c r="Z181" s="209">
        <v>0</v>
      </c>
      <c r="AA181" s="130">
        <f>D181+Z181</f>
        <v>0</v>
      </c>
      <c r="IQ181" s="95"/>
      <c r="IR181" s="95"/>
      <c r="IS181" s="95"/>
      <c r="IT181" s="95"/>
      <c r="IU181" s="95"/>
    </row>
    <row r="182" spans="2:255" s="93" customFormat="1" ht="15.75" customHeight="1" hidden="1">
      <c r="B182" s="38"/>
      <c r="C182" s="47"/>
      <c r="D182" s="101">
        <f>D183+D184+D185+D186</f>
        <v>200</v>
      </c>
      <c r="E182" s="101">
        <v>0</v>
      </c>
      <c r="F182" s="102">
        <f>F183+F184+F185</f>
        <v>0</v>
      </c>
      <c r="G182" s="101">
        <f>G183+G184+G185+G186</f>
        <v>200</v>
      </c>
      <c r="H182" s="101">
        <f aca="true" t="shared" si="42" ref="H182:P182">H183+H184+H185</f>
        <v>6366</v>
      </c>
      <c r="I182" s="101">
        <f t="shared" si="42"/>
        <v>0</v>
      </c>
      <c r="J182" s="101">
        <f t="shared" si="42"/>
        <v>0</v>
      </c>
      <c r="K182" s="101">
        <f t="shared" si="42"/>
        <v>0</v>
      </c>
      <c r="L182" s="101">
        <f t="shared" si="42"/>
        <v>0</v>
      </c>
      <c r="M182" s="101">
        <f t="shared" si="42"/>
        <v>0</v>
      </c>
      <c r="N182" s="101">
        <f t="shared" si="42"/>
        <v>0</v>
      </c>
      <c r="O182" s="101">
        <f t="shared" si="42"/>
        <v>0</v>
      </c>
      <c r="P182" s="101">
        <f t="shared" si="42"/>
        <v>0</v>
      </c>
      <c r="Q182" s="29"/>
      <c r="R182" s="212"/>
      <c r="S182" s="212"/>
      <c r="Z182" s="216"/>
      <c r="AA182" s="216"/>
      <c r="IQ182" s="95"/>
      <c r="IR182" s="95"/>
      <c r="IS182" s="95"/>
      <c r="IT182" s="95"/>
      <c r="IU182" s="95"/>
    </row>
    <row r="183" spans="2:255" s="93" customFormat="1" ht="15.75" customHeight="1" hidden="1">
      <c r="B183" s="38" t="s">
        <v>38</v>
      </c>
      <c r="C183" s="65"/>
      <c r="D183" s="82">
        <f>G183+J183+M183+P183</f>
        <v>0</v>
      </c>
      <c r="E183" s="82">
        <v>57</v>
      </c>
      <c r="F183" s="83"/>
      <c r="G183" s="29">
        <v>0</v>
      </c>
      <c r="H183" s="82">
        <v>6366</v>
      </c>
      <c r="I183" s="83">
        <v>0</v>
      </c>
      <c r="J183" s="29">
        <v>0</v>
      </c>
      <c r="K183" s="82">
        <v>0</v>
      </c>
      <c r="L183" s="83"/>
      <c r="M183" s="29">
        <f aca="true" t="shared" si="43" ref="M183:M190">K183+L183</f>
        <v>0</v>
      </c>
      <c r="N183" s="82">
        <v>0</v>
      </c>
      <c r="O183" s="83"/>
      <c r="P183" s="29">
        <f>N183+O183</f>
        <v>0</v>
      </c>
      <c r="Q183" s="29">
        <f aca="true" t="shared" si="44" ref="Q183:Q190">G183+J183+M183+P183</f>
        <v>0</v>
      </c>
      <c r="R183" s="212"/>
      <c r="S183" s="212"/>
      <c r="Z183" s="216"/>
      <c r="AA183" s="216"/>
      <c r="IQ183" s="95"/>
      <c r="IR183" s="95"/>
      <c r="IS183" s="95"/>
      <c r="IT183" s="95"/>
      <c r="IU183" s="95"/>
    </row>
    <row r="184" spans="2:255" s="93" customFormat="1" ht="15.75" customHeight="1" hidden="1">
      <c r="B184" s="38" t="s">
        <v>39</v>
      </c>
      <c r="C184" s="65"/>
      <c r="D184" s="82">
        <f>G184+J184+M184+P184</f>
        <v>0</v>
      </c>
      <c r="E184" s="82">
        <v>383</v>
      </c>
      <c r="F184" s="83"/>
      <c r="G184" s="29">
        <v>0</v>
      </c>
      <c r="H184" s="82">
        <v>0</v>
      </c>
      <c r="I184" s="83"/>
      <c r="J184" s="29">
        <f aca="true" t="shared" si="45" ref="J184:J190">H184+I184</f>
        <v>0</v>
      </c>
      <c r="K184" s="82">
        <v>0</v>
      </c>
      <c r="L184" s="83"/>
      <c r="M184" s="29">
        <f t="shared" si="43"/>
        <v>0</v>
      </c>
      <c r="N184" s="82">
        <v>0</v>
      </c>
      <c r="O184" s="83"/>
      <c r="P184" s="29">
        <f>N184+O184</f>
        <v>0</v>
      </c>
      <c r="Q184" s="29">
        <f t="shared" si="44"/>
        <v>0</v>
      </c>
      <c r="R184" s="212"/>
      <c r="S184" s="212"/>
      <c r="Z184" s="216"/>
      <c r="AA184" s="216"/>
      <c r="IQ184" s="95"/>
      <c r="IR184" s="95"/>
      <c r="IS184" s="95"/>
      <c r="IT184" s="95"/>
      <c r="IU184" s="95"/>
    </row>
    <row r="185" spans="2:255" s="93" customFormat="1" ht="15.75" customHeight="1" hidden="1">
      <c r="B185" s="38" t="s">
        <v>40</v>
      </c>
      <c r="C185" s="65"/>
      <c r="D185" s="82">
        <f>G185+J185+M185+P185</f>
        <v>0</v>
      </c>
      <c r="E185" s="82">
        <v>0</v>
      </c>
      <c r="F185" s="83"/>
      <c r="G185" s="29">
        <f>E185+F185</f>
        <v>0</v>
      </c>
      <c r="H185" s="82">
        <v>0</v>
      </c>
      <c r="I185" s="83"/>
      <c r="J185" s="29">
        <f t="shared" si="45"/>
        <v>0</v>
      </c>
      <c r="K185" s="82">
        <v>0</v>
      </c>
      <c r="L185" s="83"/>
      <c r="M185" s="29">
        <f t="shared" si="43"/>
        <v>0</v>
      </c>
      <c r="N185" s="82">
        <v>0</v>
      </c>
      <c r="O185" s="83"/>
      <c r="P185" s="29">
        <f>N185+O185</f>
        <v>0</v>
      </c>
      <c r="Q185" s="29">
        <f t="shared" si="44"/>
        <v>0</v>
      </c>
      <c r="R185" s="212"/>
      <c r="S185" s="212"/>
      <c r="Z185" s="216"/>
      <c r="AA185" s="216"/>
      <c r="IQ185" s="95"/>
      <c r="IR185" s="95"/>
      <c r="IS185" s="95"/>
      <c r="IT185" s="95"/>
      <c r="IU185" s="95"/>
    </row>
    <row r="186" spans="2:255" s="93" customFormat="1" ht="26.25" customHeight="1" hidden="1">
      <c r="B186" s="49" t="s">
        <v>41</v>
      </c>
      <c r="C186" s="94"/>
      <c r="D186" s="82">
        <f>G186+J186+M186+P186</f>
        <v>200</v>
      </c>
      <c r="E186" s="91">
        <v>11</v>
      </c>
      <c r="F186" s="92"/>
      <c r="G186" s="29">
        <v>200</v>
      </c>
      <c r="H186" s="91">
        <v>0</v>
      </c>
      <c r="I186" s="92"/>
      <c r="J186" s="29">
        <f t="shared" si="45"/>
        <v>0</v>
      </c>
      <c r="K186" s="91">
        <v>0</v>
      </c>
      <c r="L186" s="92"/>
      <c r="M186" s="29">
        <f t="shared" si="43"/>
        <v>0</v>
      </c>
      <c r="N186" s="91">
        <v>0</v>
      </c>
      <c r="O186" s="92"/>
      <c r="P186" s="29">
        <f>N186+O186</f>
        <v>0</v>
      </c>
      <c r="Q186" s="29">
        <f t="shared" si="44"/>
        <v>200</v>
      </c>
      <c r="R186" s="212"/>
      <c r="S186" s="212"/>
      <c r="Z186" s="216"/>
      <c r="AA186" s="216"/>
      <c r="IQ186" s="95"/>
      <c r="IR186" s="95"/>
      <c r="IS186" s="95"/>
      <c r="IT186" s="95"/>
      <c r="IU186" s="95"/>
    </row>
    <row r="187" spans="1:255" s="93" customFormat="1" ht="15.75" customHeight="1">
      <c r="A187" s="93">
        <v>18</v>
      </c>
      <c r="B187" s="104" t="s">
        <v>60</v>
      </c>
      <c r="C187" s="28" t="s">
        <v>76</v>
      </c>
      <c r="D187" s="41">
        <f>D188+D189+D190</f>
        <v>200</v>
      </c>
      <c r="E187" s="101">
        <f>E188+E189+E190</f>
        <v>0</v>
      </c>
      <c r="F187" s="102">
        <f>F188+F189+F190</f>
        <v>0</v>
      </c>
      <c r="G187" s="29">
        <f>G188+G189+G190</f>
        <v>200</v>
      </c>
      <c r="H187" s="101">
        <f>H188+H189+H190</f>
        <v>0</v>
      </c>
      <c r="I187" s="102"/>
      <c r="J187" s="29">
        <f t="shared" si="45"/>
        <v>0</v>
      </c>
      <c r="K187" s="101">
        <f>K188+K189+K190</f>
        <v>0</v>
      </c>
      <c r="L187" s="102"/>
      <c r="M187" s="29">
        <f t="shared" si="43"/>
        <v>0</v>
      </c>
      <c r="N187" s="101">
        <f>N188+N189+N190</f>
        <v>0</v>
      </c>
      <c r="O187" s="102">
        <f>O188+O189</f>
        <v>200</v>
      </c>
      <c r="P187" s="29">
        <v>0</v>
      </c>
      <c r="Q187" s="29">
        <f t="shared" si="44"/>
        <v>200</v>
      </c>
      <c r="R187" s="212"/>
      <c r="S187" s="212"/>
      <c r="Z187" s="233">
        <v>0</v>
      </c>
      <c r="AA187" s="226">
        <f>D187+Z187</f>
        <v>200</v>
      </c>
      <c r="IQ187" s="95"/>
      <c r="IR187" s="95"/>
      <c r="IS187" s="95"/>
      <c r="IT187" s="95"/>
      <c r="IU187" s="95"/>
    </row>
    <row r="188" spans="2:255" s="93" customFormat="1" ht="16.5" customHeight="1">
      <c r="B188" s="43" t="s">
        <v>35</v>
      </c>
      <c r="C188" s="44"/>
      <c r="D188" s="45">
        <f>G188+J188+M188+P188</f>
        <v>30</v>
      </c>
      <c r="E188" s="82">
        <v>0</v>
      </c>
      <c r="F188" s="83"/>
      <c r="G188" s="29">
        <v>30</v>
      </c>
      <c r="H188" s="82">
        <v>0</v>
      </c>
      <c r="I188" s="83"/>
      <c r="J188" s="29">
        <f t="shared" si="45"/>
        <v>0</v>
      </c>
      <c r="K188" s="82">
        <v>0</v>
      </c>
      <c r="L188" s="83"/>
      <c r="M188" s="29">
        <f t="shared" si="43"/>
        <v>0</v>
      </c>
      <c r="N188" s="82">
        <v>0</v>
      </c>
      <c r="O188" s="83">
        <v>0</v>
      </c>
      <c r="P188" s="29">
        <f>N188+O188</f>
        <v>0</v>
      </c>
      <c r="Q188" s="29">
        <f t="shared" si="44"/>
        <v>30</v>
      </c>
      <c r="R188" s="212"/>
      <c r="S188" s="212"/>
      <c r="Z188" s="209">
        <v>0</v>
      </c>
      <c r="AA188" s="130">
        <f>D188+Z188</f>
        <v>30</v>
      </c>
      <c r="IQ188" s="95"/>
      <c r="IR188" s="95"/>
      <c r="IS188" s="95"/>
      <c r="IT188" s="95"/>
      <c r="IU188" s="95"/>
    </row>
    <row r="189" spans="2:255" s="93" customFormat="1" ht="16.5" customHeight="1">
      <c r="B189" s="38" t="s">
        <v>36</v>
      </c>
      <c r="C189" s="46"/>
      <c r="D189" s="45">
        <f>G189+J189+M189+P189</f>
        <v>170</v>
      </c>
      <c r="E189" s="82">
        <v>0</v>
      </c>
      <c r="F189" s="83"/>
      <c r="G189" s="29">
        <v>170</v>
      </c>
      <c r="H189" s="82">
        <v>0</v>
      </c>
      <c r="I189" s="83"/>
      <c r="J189" s="29">
        <f t="shared" si="45"/>
        <v>0</v>
      </c>
      <c r="K189" s="82">
        <v>0</v>
      </c>
      <c r="L189" s="83"/>
      <c r="M189" s="29">
        <f t="shared" si="43"/>
        <v>0</v>
      </c>
      <c r="N189" s="82">
        <v>0</v>
      </c>
      <c r="O189" s="83">
        <v>200</v>
      </c>
      <c r="P189" s="29">
        <v>0</v>
      </c>
      <c r="Q189" s="29">
        <f t="shared" si="44"/>
        <v>170</v>
      </c>
      <c r="R189" s="212"/>
      <c r="S189" s="212"/>
      <c r="Z189" s="209">
        <v>0</v>
      </c>
      <c r="AA189" s="130">
        <f>D189+Z189</f>
        <v>170</v>
      </c>
      <c r="IQ189" s="95"/>
      <c r="IR189" s="95"/>
      <c r="IS189" s="95"/>
      <c r="IT189" s="95"/>
      <c r="IU189" s="95"/>
    </row>
    <row r="190" spans="2:255" s="93" customFormat="1" ht="15.75" customHeight="1">
      <c r="B190" s="38" t="s">
        <v>37</v>
      </c>
      <c r="C190" s="47"/>
      <c r="D190" s="45">
        <f>G190+J190+M190+P190</f>
        <v>0</v>
      </c>
      <c r="E190" s="82">
        <v>0</v>
      </c>
      <c r="F190" s="83"/>
      <c r="G190" s="29">
        <v>0</v>
      </c>
      <c r="H190" s="82">
        <v>0</v>
      </c>
      <c r="I190" s="83"/>
      <c r="J190" s="29">
        <f t="shared" si="45"/>
        <v>0</v>
      </c>
      <c r="K190" s="82">
        <v>0</v>
      </c>
      <c r="L190" s="83"/>
      <c r="M190" s="29">
        <f t="shared" si="43"/>
        <v>0</v>
      </c>
      <c r="N190" s="82">
        <v>0</v>
      </c>
      <c r="O190" s="83"/>
      <c r="P190" s="29">
        <f>N190+O190</f>
        <v>0</v>
      </c>
      <c r="Q190" s="29">
        <f t="shared" si="44"/>
        <v>0</v>
      </c>
      <c r="R190" s="212"/>
      <c r="S190" s="212"/>
      <c r="Z190" s="209">
        <v>0</v>
      </c>
      <c r="AA190" s="130">
        <f>D190+Z190</f>
        <v>0</v>
      </c>
      <c r="IQ190" s="95"/>
      <c r="IR190" s="95"/>
      <c r="IS190" s="95"/>
      <c r="IT190" s="95"/>
      <c r="IU190" s="95"/>
    </row>
    <row r="191" spans="2:255" s="93" customFormat="1" ht="15.75" customHeight="1" hidden="1">
      <c r="B191" s="38"/>
      <c r="C191" s="47"/>
      <c r="D191" s="101">
        <f>D192+D193+D194+D195</f>
        <v>200</v>
      </c>
      <c r="E191" s="101">
        <v>0</v>
      </c>
      <c r="F191" s="102">
        <f>F192+F193+F194</f>
        <v>0</v>
      </c>
      <c r="G191" s="101">
        <f>G192+G193+G194+G195</f>
        <v>200</v>
      </c>
      <c r="H191" s="101">
        <f aca="true" t="shared" si="46" ref="H191:P191">H192+H193+H194</f>
        <v>6366</v>
      </c>
      <c r="I191" s="101">
        <f t="shared" si="46"/>
        <v>0</v>
      </c>
      <c r="J191" s="101">
        <f t="shared" si="46"/>
        <v>0</v>
      </c>
      <c r="K191" s="101">
        <f t="shared" si="46"/>
        <v>0</v>
      </c>
      <c r="L191" s="101">
        <f t="shared" si="46"/>
        <v>0</v>
      </c>
      <c r="M191" s="101">
        <f t="shared" si="46"/>
        <v>0</v>
      </c>
      <c r="N191" s="101">
        <f t="shared" si="46"/>
        <v>0</v>
      </c>
      <c r="O191" s="101">
        <f t="shared" si="46"/>
        <v>0</v>
      </c>
      <c r="P191" s="101">
        <f t="shared" si="46"/>
        <v>0</v>
      </c>
      <c r="Q191" s="29"/>
      <c r="R191" s="212"/>
      <c r="S191" s="212"/>
      <c r="Z191" s="216"/>
      <c r="AA191" s="216"/>
      <c r="IQ191" s="95"/>
      <c r="IR191" s="95"/>
      <c r="IS191" s="95"/>
      <c r="IT191" s="95"/>
      <c r="IU191" s="95"/>
    </row>
    <row r="192" spans="2:255" s="93" customFormat="1" ht="15.75" customHeight="1" hidden="1">
      <c r="B192" s="38" t="s">
        <v>38</v>
      </c>
      <c r="C192" s="65"/>
      <c r="D192" s="82">
        <f>G192+J192+M192+P192</f>
        <v>0</v>
      </c>
      <c r="E192" s="82">
        <v>57</v>
      </c>
      <c r="F192" s="83"/>
      <c r="G192" s="29">
        <v>0</v>
      </c>
      <c r="H192" s="82">
        <v>6366</v>
      </c>
      <c r="I192" s="83">
        <v>0</v>
      </c>
      <c r="J192" s="29">
        <v>0</v>
      </c>
      <c r="K192" s="82">
        <v>0</v>
      </c>
      <c r="L192" s="83"/>
      <c r="M192" s="29">
        <f>K192+L192</f>
        <v>0</v>
      </c>
      <c r="N192" s="82">
        <v>0</v>
      </c>
      <c r="O192" s="83"/>
      <c r="P192" s="29">
        <f>N192+O192</f>
        <v>0</v>
      </c>
      <c r="Q192" s="29">
        <f aca="true" t="shared" si="47" ref="Q192:Q213">G192+J192+M192+P192</f>
        <v>0</v>
      </c>
      <c r="R192" s="212"/>
      <c r="S192" s="212"/>
      <c r="Z192" s="216"/>
      <c r="AA192" s="216"/>
      <c r="IQ192" s="95"/>
      <c r="IR192" s="95"/>
      <c r="IS192" s="95"/>
      <c r="IT192" s="95"/>
      <c r="IU192" s="95"/>
    </row>
    <row r="193" spans="2:255" s="93" customFormat="1" ht="15.75" customHeight="1" hidden="1">
      <c r="B193" s="38" t="s">
        <v>39</v>
      </c>
      <c r="C193" s="65"/>
      <c r="D193" s="82">
        <f>G193+J193+M193+P193</f>
        <v>0</v>
      </c>
      <c r="E193" s="82">
        <v>383</v>
      </c>
      <c r="F193" s="83"/>
      <c r="G193" s="29">
        <v>0</v>
      </c>
      <c r="H193" s="82">
        <v>0</v>
      </c>
      <c r="I193" s="83"/>
      <c r="J193" s="29">
        <f>H193+I193</f>
        <v>0</v>
      </c>
      <c r="K193" s="82">
        <v>0</v>
      </c>
      <c r="L193" s="83"/>
      <c r="M193" s="29">
        <f>K193+L193</f>
        <v>0</v>
      </c>
      <c r="N193" s="82">
        <v>0</v>
      </c>
      <c r="O193" s="83"/>
      <c r="P193" s="29">
        <f>N193+O193</f>
        <v>0</v>
      </c>
      <c r="Q193" s="29">
        <f t="shared" si="47"/>
        <v>0</v>
      </c>
      <c r="R193" s="212"/>
      <c r="S193" s="212"/>
      <c r="Z193" s="216"/>
      <c r="AA193" s="216"/>
      <c r="IQ193" s="95"/>
      <c r="IR193" s="95"/>
      <c r="IS193" s="95"/>
      <c r="IT193" s="95"/>
      <c r="IU193" s="95"/>
    </row>
    <row r="194" spans="2:255" s="93" customFormat="1" ht="15.75" customHeight="1" hidden="1">
      <c r="B194" s="38" t="s">
        <v>40</v>
      </c>
      <c r="C194" s="65"/>
      <c r="D194" s="82">
        <f>G194+J194+M194+P194</f>
        <v>0</v>
      </c>
      <c r="E194" s="82">
        <v>0</v>
      </c>
      <c r="F194" s="83"/>
      <c r="G194" s="29">
        <f>E194+F194</f>
        <v>0</v>
      </c>
      <c r="H194" s="82">
        <v>0</v>
      </c>
      <c r="I194" s="83"/>
      <c r="J194" s="29">
        <f>H194+I194</f>
        <v>0</v>
      </c>
      <c r="K194" s="82">
        <v>0</v>
      </c>
      <c r="L194" s="83"/>
      <c r="M194" s="29">
        <f>K194+L194</f>
        <v>0</v>
      </c>
      <c r="N194" s="82">
        <v>0</v>
      </c>
      <c r="O194" s="83"/>
      <c r="P194" s="29">
        <f>N194+O194</f>
        <v>0</v>
      </c>
      <c r="Q194" s="29">
        <f t="shared" si="47"/>
        <v>0</v>
      </c>
      <c r="R194" s="212"/>
      <c r="S194" s="212"/>
      <c r="Z194" s="216"/>
      <c r="AA194" s="216"/>
      <c r="IQ194" s="95"/>
      <c r="IR194" s="95"/>
      <c r="IS194" s="95"/>
      <c r="IT194" s="95"/>
      <c r="IU194" s="95"/>
    </row>
    <row r="195" spans="2:255" s="93" customFormat="1" ht="26.25" customHeight="1" hidden="1">
      <c r="B195" s="49" t="s">
        <v>41</v>
      </c>
      <c r="C195" s="94"/>
      <c r="D195" s="82">
        <f>G195+J195+M195+P195</f>
        <v>200</v>
      </c>
      <c r="E195" s="91">
        <v>11</v>
      </c>
      <c r="F195" s="92"/>
      <c r="G195" s="29">
        <v>200</v>
      </c>
      <c r="H195" s="91">
        <v>0</v>
      </c>
      <c r="I195" s="92"/>
      <c r="J195" s="29">
        <f>H195+I195</f>
        <v>0</v>
      </c>
      <c r="K195" s="91">
        <v>0</v>
      </c>
      <c r="L195" s="92"/>
      <c r="M195" s="29">
        <f>K195+L195</f>
        <v>0</v>
      </c>
      <c r="N195" s="91">
        <v>0</v>
      </c>
      <c r="O195" s="92"/>
      <c r="P195" s="29">
        <f>N195+O195</f>
        <v>0</v>
      </c>
      <c r="Q195" s="29">
        <f t="shared" si="47"/>
        <v>200</v>
      </c>
      <c r="R195" s="212"/>
      <c r="S195" s="212"/>
      <c r="Z195" s="216"/>
      <c r="AA195" s="216"/>
      <c r="IQ195" s="95"/>
      <c r="IR195" s="95"/>
      <c r="IS195" s="95"/>
      <c r="IT195" s="95"/>
      <c r="IU195" s="95"/>
    </row>
    <row r="196" spans="1:255" s="93" customFormat="1" ht="30" customHeight="1">
      <c r="A196" s="93">
        <v>19</v>
      </c>
      <c r="B196" s="78" t="s">
        <v>60</v>
      </c>
      <c r="C196" s="23" t="s">
        <v>77</v>
      </c>
      <c r="D196" s="41">
        <f aca="true" t="shared" si="48" ref="D196:P196">D197+D198+D199</f>
        <v>1608</v>
      </c>
      <c r="E196" s="41">
        <f t="shared" si="48"/>
        <v>32</v>
      </c>
      <c r="F196" s="42">
        <f t="shared" si="48"/>
        <v>0</v>
      </c>
      <c r="G196" s="29">
        <f t="shared" si="48"/>
        <v>794</v>
      </c>
      <c r="H196" s="29">
        <f t="shared" si="48"/>
        <v>212</v>
      </c>
      <c r="I196" s="29">
        <f t="shared" si="48"/>
        <v>0</v>
      </c>
      <c r="J196" s="29">
        <f t="shared" si="48"/>
        <v>0</v>
      </c>
      <c r="K196" s="29">
        <f t="shared" si="48"/>
        <v>334</v>
      </c>
      <c r="L196" s="29">
        <f t="shared" si="48"/>
        <v>0</v>
      </c>
      <c r="M196" s="29">
        <f t="shared" si="48"/>
        <v>0</v>
      </c>
      <c r="N196" s="29">
        <f t="shared" si="48"/>
        <v>0</v>
      </c>
      <c r="O196" s="29">
        <f t="shared" si="48"/>
        <v>0</v>
      </c>
      <c r="P196" s="29">
        <f t="shared" si="48"/>
        <v>814</v>
      </c>
      <c r="Q196" s="29">
        <f t="shared" si="47"/>
        <v>1608</v>
      </c>
      <c r="R196" s="212"/>
      <c r="S196" s="212"/>
      <c r="Z196" s="233">
        <v>0</v>
      </c>
      <c r="AA196" s="226">
        <f>D196+Z196</f>
        <v>1608</v>
      </c>
      <c r="IQ196" s="95"/>
      <c r="IR196" s="95"/>
      <c r="IS196" s="95"/>
      <c r="IT196" s="95"/>
      <c r="IU196" s="95"/>
    </row>
    <row r="197" spans="2:255" s="93" customFormat="1" ht="16.5" customHeight="1">
      <c r="B197" s="43" t="s">
        <v>65</v>
      </c>
      <c r="C197" s="44"/>
      <c r="D197" s="82">
        <f>G197+J197+M197+P197</f>
        <v>1351</v>
      </c>
      <c r="E197" s="82">
        <v>27</v>
      </c>
      <c r="F197" s="83"/>
      <c r="G197" s="29">
        <v>667</v>
      </c>
      <c r="H197" s="82">
        <v>178</v>
      </c>
      <c r="I197" s="83"/>
      <c r="J197" s="29">
        <v>0</v>
      </c>
      <c r="K197" s="82">
        <v>281</v>
      </c>
      <c r="L197" s="83"/>
      <c r="M197" s="29">
        <v>0</v>
      </c>
      <c r="N197" s="82"/>
      <c r="O197" s="83"/>
      <c r="P197" s="29">
        <v>684</v>
      </c>
      <c r="Q197" s="29">
        <f t="shared" si="47"/>
        <v>1351</v>
      </c>
      <c r="R197" s="212"/>
      <c r="S197" s="212"/>
      <c r="Z197" s="209">
        <v>0</v>
      </c>
      <c r="AA197" s="130">
        <f>D197+Z197</f>
        <v>1351</v>
      </c>
      <c r="IQ197" s="95"/>
      <c r="IR197" s="95"/>
      <c r="IS197" s="95"/>
      <c r="IT197" s="95"/>
      <c r="IU197" s="95"/>
    </row>
    <row r="198" spans="2:255" s="93" customFormat="1" ht="16.5" customHeight="1">
      <c r="B198" s="43" t="s">
        <v>66</v>
      </c>
      <c r="C198" s="46"/>
      <c r="D198" s="82">
        <f>G198+J198+M198+P198</f>
        <v>0</v>
      </c>
      <c r="E198" s="82">
        <v>0</v>
      </c>
      <c r="F198" s="83"/>
      <c r="G198" s="29">
        <v>0</v>
      </c>
      <c r="H198" s="82"/>
      <c r="I198" s="83"/>
      <c r="J198" s="29">
        <f>H198+I198</f>
        <v>0</v>
      </c>
      <c r="K198" s="82"/>
      <c r="L198" s="83"/>
      <c r="M198" s="29">
        <f>K198+L198</f>
        <v>0</v>
      </c>
      <c r="N198" s="82"/>
      <c r="O198" s="83"/>
      <c r="P198" s="29">
        <f>N198+O198</f>
        <v>0</v>
      </c>
      <c r="Q198" s="29">
        <f t="shared" si="47"/>
        <v>0</v>
      </c>
      <c r="R198" s="212"/>
      <c r="S198" s="212"/>
      <c r="Z198" s="209">
        <v>0</v>
      </c>
      <c r="AA198" s="130">
        <f>D198+Z198</f>
        <v>0</v>
      </c>
      <c r="IQ198" s="95"/>
      <c r="IR198" s="95"/>
      <c r="IS198" s="95"/>
      <c r="IT198" s="95"/>
      <c r="IU198" s="95"/>
    </row>
    <row r="199" spans="2:255" s="93" customFormat="1" ht="16.5" customHeight="1">
      <c r="B199" s="38" t="s">
        <v>67</v>
      </c>
      <c r="C199" s="47"/>
      <c r="D199" s="82">
        <f>G199+J199+M199+P199</f>
        <v>257</v>
      </c>
      <c r="E199" s="82">
        <v>5</v>
      </c>
      <c r="F199" s="83"/>
      <c r="G199" s="29">
        <v>127</v>
      </c>
      <c r="H199" s="82">
        <v>34</v>
      </c>
      <c r="I199" s="83"/>
      <c r="J199" s="29">
        <v>0</v>
      </c>
      <c r="K199" s="82">
        <v>53</v>
      </c>
      <c r="L199" s="83"/>
      <c r="M199" s="29">
        <v>0</v>
      </c>
      <c r="N199" s="82"/>
      <c r="O199" s="83"/>
      <c r="P199" s="29">
        <v>130</v>
      </c>
      <c r="Q199" s="29">
        <f t="shared" si="47"/>
        <v>257</v>
      </c>
      <c r="R199" s="212"/>
      <c r="S199" s="212"/>
      <c r="Z199" s="209">
        <v>0</v>
      </c>
      <c r="AA199" s="130">
        <f>D199+Z199</f>
        <v>257</v>
      </c>
      <c r="IQ199" s="95"/>
      <c r="IR199" s="95"/>
      <c r="IS199" s="95"/>
      <c r="IT199" s="95"/>
      <c r="IU199" s="95"/>
    </row>
    <row r="200" spans="2:255" s="93" customFormat="1" ht="16.5" customHeight="1" hidden="1">
      <c r="B200" s="38"/>
      <c r="C200" s="65"/>
      <c r="D200" s="82"/>
      <c r="E200" s="82"/>
      <c r="F200" s="83"/>
      <c r="G200" s="29">
        <f>E200+F200</f>
        <v>0</v>
      </c>
      <c r="H200" s="82"/>
      <c r="I200" s="83"/>
      <c r="J200" s="29">
        <f>H200+I200</f>
        <v>0</v>
      </c>
      <c r="K200" s="82"/>
      <c r="L200" s="83"/>
      <c r="M200" s="29">
        <f>K200+L200</f>
        <v>0</v>
      </c>
      <c r="N200" s="82"/>
      <c r="O200" s="83"/>
      <c r="P200" s="29">
        <f>N200+O200</f>
        <v>0</v>
      </c>
      <c r="Q200" s="29">
        <f t="shared" si="47"/>
        <v>0</v>
      </c>
      <c r="R200" s="212"/>
      <c r="S200" s="212"/>
      <c r="Z200" s="216"/>
      <c r="AA200" s="216"/>
      <c r="IQ200" s="95"/>
      <c r="IR200" s="95"/>
      <c r="IS200" s="95"/>
      <c r="IT200" s="95"/>
      <c r="IU200" s="95"/>
    </row>
    <row r="201" spans="2:255" s="93" customFormat="1" ht="16.5" customHeight="1" hidden="1">
      <c r="B201" s="39"/>
      <c r="C201" s="28"/>
      <c r="D201" s="101">
        <f>D202+D203+D204</f>
        <v>1608</v>
      </c>
      <c r="E201" s="101">
        <v>0</v>
      </c>
      <c r="F201" s="102">
        <f aca="true" t="shared" si="49" ref="F201:P201">F202+F203+F204</f>
        <v>0</v>
      </c>
      <c r="G201" s="101">
        <f t="shared" si="49"/>
        <v>794</v>
      </c>
      <c r="H201" s="101">
        <f t="shared" si="49"/>
        <v>212</v>
      </c>
      <c r="I201" s="101">
        <f t="shared" si="49"/>
        <v>0</v>
      </c>
      <c r="J201" s="101">
        <f t="shared" si="49"/>
        <v>0</v>
      </c>
      <c r="K201" s="101">
        <f t="shared" si="49"/>
        <v>334</v>
      </c>
      <c r="L201" s="101">
        <f t="shared" si="49"/>
        <v>0</v>
      </c>
      <c r="M201" s="101">
        <f t="shared" si="49"/>
        <v>0</v>
      </c>
      <c r="N201" s="101">
        <f t="shared" si="49"/>
        <v>0</v>
      </c>
      <c r="O201" s="101">
        <f t="shared" si="49"/>
        <v>0</v>
      </c>
      <c r="P201" s="101">
        <f t="shared" si="49"/>
        <v>814</v>
      </c>
      <c r="Q201" s="29">
        <f t="shared" si="47"/>
        <v>1608</v>
      </c>
      <c r="R201" s="212"/>
      <c r="S201" s="212"/>
      <c r="Z201" s="216"/>
      <c r="AA201" s="216"/>
      <c r="IQ201" s="95"/>
      <c r="IR201" s="95"/>
      <c r="IS201" s="95"/>
      <c r="IT201" s="95"/>
      <c r="IU201" s="95"/>
    </row>
    <row r="202" spans="2:255" s="93" customFormat="1" ht="16.5" customHeight="1" hidden="1">
      <c r="B202" s="38" t="s">
        <v>68</v>
      </c>
      <c r="C202" s="65"/>
      <c r="D202" s="82">
        <f>G202+J202+M202+P202</f>
        <v>1351</v>
      </c>
      <c r="E202" s="82">
        <v>27</v>
      </c>
      <c r="F202" s="83"/>
      <c r="G202" s="29">
        <v>667</v>
      </c>
      <c r="H202" s="82">
        <v>178</v>
      </c>
      <c r="I202" s="83"/>
      <c r="J202" s="29">
        <v>0</v>
      </c>
      <c r="K202" s="82">
        <v>281</v>
      </c>
      <c r="L202" s="83"/>
      <c r="M202" s="29">
        <v>0</v>
      </c>
      <c r="N202" s="82"/>
      <c r="O202" s="83"/>
      <c r="P202" s="29">
        <v>684</v>
      </c>
      <c r="Q202" s="29">
        <f t="shared" si="47"/>
        <v>1351</v>
      </c>
      <c r="R202" s="212"/>
      <c r="S202" s="212"/>
      <c r="Z202" s="216"/>
      <c r="AA202" s="216"/>
      <c r="IQ202" s="95"/>
      <c r="IR202" s="95"/>
      <c r="IS202" s="95"/>
      <c r="IT202" s="95"/>
      <c r="IU202" s="95"/>
    </row>
    <row r="203" spans="2:255" s="93" customFormat="1" ht="16.5" customHeight="1" hidden="1">
      <c r="B203" s="38" t="s">
        <v>69</v>
      </c>
      <c r="C203" s="65"/>
      <c r="D203" s="82">
        <f>G203+J203+M203+P203</f>
        <v>0</v>
      </c>
      <c r="E203" s="82">
        <v>0</v>
      </c>
      <c r="F203" s="83"/>
      <c r="G203" s="29">
        <f>E203+F203</f>
        <v>0</v>
      </c>
      <c r="H203" s="82"/>
      <c r="I203" s="83"/>
      <c r="J203" s="29">
        <f>H203+I203</f>
        <v>0</v>
      </c>
      <c r="K203" s="82"/>
      <c r="L203" s="83"/>
      <c r="M203" s="29">
        <f>K203+L203</f>
        <v>0</v>
      </c>
      <c r="N203" s="82"/>
      <c r="O203" s="83"/>
      <c r="P203" s="29">
        <f>N203+O203</f>
        <v>0</v>
      </c>
      <c r="Q203" s="29">
        <f t="shared" si="47"/>
        <v>0</v>
      </c>
      <c r="R203" s="212"/>
      <c r="S203" s="212"/>
      <c r="Z203" s="216"/>
      <c r="AA203" s="216"/>
      <c r="IQ203" s="95"/>
      <c r="IR203" s="95"/>
      <c r="IS203" s="95"/>
      <c r="IT203" s="95"/>
      <c r="IU203" s="95"/>
    </row>
    <row r="204" spans="2:255" s="93" customFormat="1" ht="16.5" customHeight="1" hidden="1">
      <c r="B204" s="38" t="s">
        <v>70</v>
      </c>
      <c r="C204" s="65"/>
      <c r="D204" s="82">
        <f>G204+J204+M204+P204</f>
        <v>257</v>
      </c>
      <c r="E204" s="82">
        <v>5</v>
      </c>
      <c r="F204" s="83"/>
      <c r="G204" s="29">
        <v>127</v>
      </c>
      <c r="H204" s="82">
        <v>34</v>
      </c>
      <c r="I204" s="83"/>
      <c r="J204" s="29">
        <v>0</v>
      </c>
      <c r="K204" s="82">
        <v>53</v>
      </c>
      <c r="L204" s="83"/>
      <c r="M204" s="29">
        <v>0</v>
      </c>
      <c r="N204" s="82"/>
      <c r="O204" s="83"/>
      <c r="P204" s="29">
        <v>130</v>
      </c>
      <c r="Q204" s="29">
        <f t="shared" si="47"/>
        <v>257</v>
      </c>
      <c r="R204" s="212"/>
      <c r="S204" s="212"/>
      <c r="Z204" s="216"/>
      <c r="AA204" s="216"/>
      <c r="IQ204" s="95"/>
      <c r="IR204" s="95"/>
      <c r="IS204" s="95"/>
      <c r="IT204" s="95"/>
      <c r="IU204" s="95"/>
    </row>
    <row r="205" spans="1:255" s="93" customFormat="1" ht="30" customHeight="1">
      <c r="A205" s="93">
        <v>20</v>
      </c>
      <c r="B205" s="78" t="s">
        <v>55</v>
      </c>
      <c r="C205" s="23" t="s">
        <v>78</v>
      </c>
      <c r="D205" s="41">
        <f aca="true" t="shared" si="50" ref="D205:P205">D206+D207+D208</f>
        <v>1048</v>
      </c>
      <c r="E205" s="41">
        <f t="shared" si="50"/>
        <v>118</v>
      </c>
      <c r="F205" s="42">
        <f t="shared" si="50"/>
        <v>0</v>
      </c>
      <c r="G205" s="29">
        <f t="shared" si="50"/>
        <v>441</v>
      </c>
      <c r="H205" s="29">
        <f t="shared" si="50"/>
        <v>125</v>
      </c>
      <c r="I205" s="29">
        <f t="shared" si="50"/>
        <v>0</v>
      </c>
      <c r="J205" s="29">
        <f t="shared" si="50"/>
        <v>0</v>
      </c>
      <c r="K205" s="29">
        <f t="shared" si="50"/>
        <v>87</v>
      </c>
      <c r="L205" s="29">
        <f t="shared" si="50"/>
        <v>0</v>
      </c>
      <c r="M205" s="29">
        <f t="shared" si="50"/>
        <v>0</v>
      </c>
      <c r="N205" s="29">
        <f t="shared" si="50"/>
        <v>0</v>
      </c>
      <c r="O205" s="29">
        <f t="shared" si="50"/>
        <v>0</v>
      </c>
      <c r="P205" s="29">
        <f t="shared" si="50"/>
        <v>607</v>
      </c>
      <c r="Q205" s="29">
        <f t="shared" si="47"/>
        <v>1048</v>
      </c>
      <c r="R205" s="212"/>
      <c r="S205" s="212"/>
      <c r="Z205" s="233">
        <v>0</v>
      </c>
      <c r="AA205" s="226">
        <f>D205+Z205</f>
        <v>1048</v>
      </c>
      <c r="IQ205" s="95"/>
      <c r="IR205" s="95"/>
      <c r="IS205" s="95"/>
      <c r="IT205" s="95"/>
      <c r="IU205" s="95"/>
    </row>
    <row r="206" spans="2:255" s="93" customFormat="1" ht="16.5" customHeight="1">
      <c r="B206" s="43" t="s">
        <v>65</v>
      </c>
      <c r="C206" s="44"/>
      <c r="D206" s="82">
        <f>Q206</f>
        <v>880</v>
      </c>
      <c r="E206" s="83">
        <v>91</v>
      </c>
      <c r="F206" s="83"/>
      <c r="G206" s="29">
        <v>370</v>
      </c>
      <c r="H206" s="83">
        <v>-91</v>
      </c>
      <c r="I206" s="83">
        <v>0</v>
      </c>
      <c r="J206" s="29">
        <v>0</v>
      </c>
      <c r="K206" s="83">
        <v>0</v>
      </c>
      <c r="L206" s="83">
        <v>0</v>
      </c>
      <c r="M206" s="29">
        <v>0</v>
      </c>
      <c r="N206" s="82">
        <v>268</v>
      </c>
      <c r="O206" s="83">
        <v>0</v>
      </c>
      <c r="P206" s="29">
        <v>510</v>
      </c>
      <c r="Q206" s="29">
        <f t="shared" si="47"/>
        <v>880</v>
      </c>
      <c r="R206" s="212"/>
      <c r="S206" s="212"/>
      <c r="Z206" s="209">
        <v>0</v>
      </c>
      <c r="AA206" s="130">
        <f>D206+Z206</f>
        <v>880</v>
      </c>
      <c r="IQ206" s="95"/>
      <c r="IR206" s="95"/>
      <c r="IS206" s="95"/>
      <c r="IT206" s="95"/>
      <c r="IU206" s="95"/>
    </row>
    <row r="207" spans="2:255" s="93" customFormat="1" ht="16.5" customHeight="1">
      <c r="B207" s="43" t="s">
        <v>66</v>
      </c>
      <c r="C207" s="46"/>
      <c r="D207" s="82">
        <f>Q207</f>
        <v>0</v>
      </c>
      <c r="E207" s="83">
        <v>0</v>
      </c>
      <c r="F207" s="83"/>
      <c r="G207" s="29">
        <v>0</v>
      </c>
      <c r="H207" s="83">
        <v>196</v>
      </c>
      <c r="I207" s="83">
        <v>0</v>
      </c>
      <c r="J207" s="29">
        <v>0</v>
      </c>
      <c r="K207" s="83">
        <v>73</v>
      </c>
      <c r="L207" s="83">
        <v>0</v>
      </c>
      <c r="M207" s="29">
        <v>0</v>
      </c>
      <c r="N207" s="82">
        <v>-268</v>
      </c>
      <c r="O207" s="83">
        <v>0</v>
      </c>
      <c r="P207" s="29">
        <v>0</v>
      </c>
      <c r="Q207" s="29">
        <f t="shared" si="47"/>
        <v>0</v>
      </c>
      <c r="R207" s="212"/>
      <c r="S207" s="212"/>
      <c r="Z207" s="209">
        <v>0</v>
      </c>
      <c r="AA207" s="130">
        <f>D207+Z207</f>
        <v>0</v>
      </c>
      <c r="IQ207" s="95"/>
      <c r="IR207" s="95"/>
      <c r="IS207" s="95"/>
      <c r="IT207" s="95"/>
      <c r="IU207" s="95"/>
    </row>
    <row r="208" spans="2:255" s="93" customFormat="1" ht="16.5" customHeight="1">
      <c r="B208" s="38" t="s">
        <v>67</v>
      </c>
      <c r="C208" s="47"/>
      <c r="D208" s="82">
        <f>Q208</f>
        <v>168</v>
      </c>
      <c r="E208" s="83">
        <v>27</v>
      </c>
      <c r="F208" s="83"/>
      <c r="G208" s="29">
        <v>71</v>
      </c>
      <c r="H208" s="83">
        <v>20</v>
      </c>
      <c r="I208" s="83"/>
      <c r="J208" s="29">
        <v>0</v>
      </c>
      <c r="K208" s="83">
        <v>14</v>
      </c>
      <c r="L208" s="83"/>
      <c r="M208" s="29">
        <v>0</v>
      </c>
      <c r="N208" s="82"/>
      <c r="O208" s="83"/>
      <c r="P208" s="29">
        <v>97</v>
      </c>
      <c r="Q208" s="29">
        <f t="shared" si="47"/>
        <v>168</v>
      </c>
      <c r="R208" s="212"/>
      <c r="S208" s="212"/>
      <c r="Z208" s="209">
        <v>0</v>
      </c>
      <c r="AA208" s="130">
        <f>D208+Z208</f>
        <v>168</v>
      </c>
      <c r="IQ208" s="95"/>
      <c r="IR208" s="95"/>
      <c r="IS208" s="95"/>
      <c r="IT208" s="95"/>
      <c r="IU208" s="95"/>
    </row>
    <row r="209" spans="2:255" s="93" customFormat="1" ht="16.5" customHeight="1" hidden="1">
      <c r="B209" s="38"/>
      <c r="C209" s="65"/>
      <c r="D209" s="82"/>
      <c r="E209" s="82"/>
      <c r="F209" s="83"/>
      <c r="G209" s="29">
        <f>E209+F209</f>
        <v>0</v>
      </c>
      <c r="H209" s="82"/>
      <c r="I209" s="83"/>
      <c r="J209" s="29">
        <f>H209+I209</f>
        <v>0</v>
      </c>
      <c r="K209" s="82"/>
      <c r="L209" s="83"/>
      <c r="M209" s="29">
        <f>K209+L209</f>
        <v>0</v>
      </c>
      <c r="N209" s="82"/>
      <c r="O209" s="83"/>
      <c r="P209" s="29">
        <f>N209+O209</f>
        <v>0</v>
      </c>
      <c r="Q209" s="29">
        <f t="shared" si="47"/>
        <v>0</v>
      </c>
      <c r="R209" s="212"/>
      <c r="S209" s="212"/>
      <c r="Z209" s="216"/>
      <c r="AA209" s="216"/>
      <c r="IQ209" s="95"/>
      <c r="IR209" s="95"/>
      <c r="IS209" s="95"/>
      <c r="IT209" s="95"/>
      <c r="IU209" s="95"/>
    </row>
    <row r="210" spans="2:255" s="93" customFormat="1" ht="16.5" customHeight="1" hidden="1">
      <c r="B210" s="39"/>
      <c r="C210" s="28"/>
      <c r="D210" s="101">
        <f>D211+D212+D213</f>
        <v>1048</v>
      </c>
      <c r="E210" s="101">
        <v>0</v>
      </c>
      <c r="F210" s="102">
        <f aca="true" t="shared" si="51" ref="F210:P210">F211+F212+F213</f>
        <v>0</v>
      </c>
      <c r="G210" s="101">
        <f t="shared" si="51"/>
        <v>441</v>
      </c>
      <c r="H210" s="101">
        <f t="shared" si="51"/>
        <v>125</v>
      </c>
      <c r="I210" s="101">
        <f t="shared" si="51"/>
        <v>0</v>
      </c>
      <c r="J210" s="101">
        <f t="shared" si="51"/>
        <v>0</v>
      </c>
      <c r="K210" s="101">
        <f t="shared" si="51"/>
        <v>87</v>
      </c>
      <c r="L210" s="101">
        <f t="shared" si="51"/>
        <v>0</v>
      </c>
      <c r="M210" s="101">
        <f t="shared" si="51"/>
        <v>0</v>
      </c>
      <c r="N210" s="101">
        <f t="shared" si="51"/>
        <v>0</v>
      </c>
      <c r="O210" s="101">
        <f t="shared" si="51"/>
        <v>0</v>
      </c>
      <c r="P210" s="101">
        <f t="shared" si="51"/>
        <v>607</v>
      </c>
      <c r="Q210" s="29">
        <f t="shared" si="47"/>
        <v>1048</v>
      </c>
      <c r="R210" s="212"/>
      <c r="S210" s="212"/>
      <c r="Z210" s="216"/>
      <c r="AA210" s="216"/>
      <c r="IQ210" s="95"/>
      <c r="IR210" s="95"/>
      <c r="IS210" s="95"/>
      <c r="IT210" s="95"/>
      <c r="IU210" s="95"/>
    </row>
    <row r="211" spans="2:255" s="93" customFormat="1" ht="16.5" customHeight="1" hidden="1">
      <c r="B211" s="38" t="s">
        <v>68</v>
      </c>
      <c r="C211" s="65"/>
      <c r="D211" s="82">
        <f>G211+J211+M211+P211</f>
        <v>880</v>
      </c>
      <c r="E211" s="83">
        <v>91</v>
      </c>
      <c r="F211" s="83"/>
      <c r="G211" s="29">
        <v>370</v>
      </c>
      <c r="H211" s="83">
        <v>-91</v>
      </c>
      <c r="I211" s="83">
        <v>0</v>
      </c>
      <c r="J211" s="29">
        <v>0</v>
      </c>
      <c r="K211" s="83">
        <v>0</v>
      </c>
      <c r="L211" s="83">
        <v>0</v>
      </c>
      <c r="M211" s="29">
        <v>0</v>
      </c>
      <c r="N211" s="82"/>
      <c r="O211" s="83"/>
      <c r="P211" s="29">
        <v>510</v>
      </c>
      <c r="Q211" s="29">
        <f t="shared" si="47"/>
        <v>880</v>
      </c>
      <c r="R211" s="212"/>
      <c r="S211" s="212"/>
      <c r="Z211" s="216"/>
      <c r="AA211" s="216"/>
      <c r="IQ211" s="95"/>
      <c r="IR211" s="95"/>
      <c r="IS211" s="95"/>
      <c r="IT211" s="95"/>
      <c r="IU211" s="95"/>
    </row>
    <row r="212" spans="2:255" s="93" customFormat="1" ht="16.5" customHeight="1" hidden="1">
      <c r="B212" s="38" t="s">
        <v>69</v>
      </c>
      <c r="C212" s="105" t="s">
        <v>79</v>
      </c>
      <c r="D212" s="82">
        <f>G212+J212+M212+P212</f>
        <v>0</v>
      </c>
      <c r="E212" s="83"/>
      <c r="F212" s="83"/>
      <c r="G212" s="29">
        <f>E212+F212</f>
        <v>0</v>
      </c>
      <c r="H212" s="83">
        <v>196</v>
      </c>
      <c r="I212" s="83">
        <v>0</v>
      </c>
      <c r="J212" s="29">
        <v>0</v>
      </c>
      <c r="K212" s="83">
        <v>73</v>
      </c>
      <c r="L212" s="83">
        <v>0</v>
      </c>
      <c r="M212" s="29">
        <v>0</v>
      </c>
      <c r="N212" s="82"/>
      <c r="O212" s="83"/>
      <c r="P212" s="29">
        <f>N212+O212</f>
        <v>0</v>
      </c>
      <c r="Q212" s="29">
        <f t="shared" si="47"/>
        <v>0</v>
      </c>
      <c r="R212" s="212"/>
      <c r="S212" s="212"/>
      <c r="Z212" s="216"/>
      <c r="AA212" s="216"/>
      <c r="IQ212" s="95"/>
      <c r="IR212" s="95"/>
      <c r="IS212" s="95"/>
      <c r="IT212" s="95"/>
      <c r="IU212" s="95"/>
    </row>
    <row r="213" spans="2:255" s="93" customFormat="1" ht="16.5" customHeight="1" hidden="1">
      <c r="B213" s="38" t="s">
        <v>70</v>
      </c>
      <c r="C213" s="65"/>
      <c r="D213" s="82">
        <f>G213+J213+M213+P213</f>
        <v>168</v>
      </c>
      <c r="E213" s="83">
        <v>27</v>
      </c>
      <c r="F213" s="83"/>
      <c r="G213" s="29">
        <v>71</v>
      </c>
      <c r="H213" s="83">
        <v>20</v>
      </c>
      <c r="I213" s="83"/>
      <c r="J213" s="29">
        <v>0</v>
      </c>
      <c r="K213" s="83">
        <v>14</v>
      </c>
      <c r="L213" s="83"/>
      <c r="M213" s="29">
        <v>0</v>
      </c>
      <c r="N213" s="82"/>
      <c r="O213" s="83"/>
      <c r="P213" s="29">
        <v>97</v>
      </c>
      <c r="Q213" s="29">
        <f t="shared" si="47"/>
        <v>168</v>
      </c>
      <c r="R213" s="212"/>
      <c r="S213" s="212"/>
      <c r="Z213" s="216"/>
      <c r="AA213" s="216"/>
      <c r="IQ213" s="95"/>
      <c r="IR213" s="95"/>
      <c r="IS213" s="95"/>
      <c r="IT213" s="95"/>
      <c r="IU213" s="95"/>
    </row>
    <row r="214" spans="1:255" s="93" customFormat="1" ht="30" customHeight="1">
      <c r="A214" s="93">
        <v>21</v>
      </c>
      <c r="B214" s="78" t="s">
        <v>60</v>
      </c>
      <c r="C214" s="78" t="s">
        <v>80</v>
      </c>
      <c r="D214" s="41">
        <f aca="true" t="shared" si="52" ref="D214:Q214">D215+D217</f>
        <v>7048</v>
      </c>
      <c r="E214" s="41">
        <f t="shared" si="52"/>
        <v>10</v>
      </c>
      <c r="F214" s="42">
        <f t="shared" si="52"/>
        <v>0</v>
      </c>
      <c r="G214" s="41">
        <f t="shared" si="52"/>
        <v>84</v>
      </c>
      <c r="H214" s="41">
        <f t="shared" si="52"/>
        <v>313</v>
      </c>
      <c r="I214" s="42">
        <f t="shared" si="52"/>
        <v>0</v>
      </c>
      <c r="J214" s="41">
        <f t="shared" si="52"/>
        <v>784</v>
      </c>
      <c r="K214" s="41">
        <f t="shared" si="52"/>
        <v>364</v>
      </c>
      <c r="L214" s="42">
        <f t="shared" si="52"/>
        <v>0</v>
      </c>
      <c r="M214" s="41">
        <f t="shared" si="52"/>
        <v>0</v>
      </c>
      <c r="N214" s="41">
        <f t="shared" si="52"/>
        <v>0</v>
      </c>
      <c r="O214" s="42">
        <f t="shared" si="52"/>
        <v>0</v>
      </c>
      <c r="P214" s="41">
        <f t="shared" si="52"/>
        <v>6180</v>
      </c>
      <c r="Q214" s="41">
        <f t="shared" si="52"/>
        <v>7048</v>
      </c>
      <c r="R214" s="212"/>
      <c r="S214" s="212"/>
      <c r="Z214" s="233">
        <v>0</v>
      </c>
      <c r="AA214" s="226">
        <f>D214+Z214</f>
        <v>7048</v>
      </c>
      <c r="IQ214" s="95"/>
      <c r="IR214" s="95"/>
      <c r="IS214" s="95"/>
      <c r="IT214" s="95"/>
      <c r="IU214" s="95"/>
    </row>
    <row r="215" spans="2:255" s="93" customFormat="1" ht="16.5" customHeight="1">
      <c r="B215" s="43" t="s">
        <v>65</v>
      </c>
      <c r="C215" s="106" t="s">
        <v>23</v>
      </c>
      <c r="D215" s="82">
        <f>G215+J215+M215+P215</f>
        <v>5923</v>
      </c>
      <c r="E215" s="82">
        <v>9</v>
      </c>
      <c r="F215" s="83"/>
      <c r="G215" s="29">
        <v>70</v>
      </c>
      <c r="H215" s="82">
        <v>262</v>
      </c>
      <c r="I215" s="83"/>
      <c r="J215" s="29">
        <f>728-70</f>
        <v>658</v>
      </c>
      <c r="K215" s="82">
        <v>306</v>
      </c>
      <c r="L215" s="83"/>
      <c r="M215" s="29">
        <v>0</v>
      </c>
      <c r="N215" s="82"/>
      <c r="O215" s="83"/>
      <c r="P215" s="29">
        <f>5923-70-658</f>
        <v>5195</v>
      </c>
      <c r="Q215" s="29">
        <f>G215+J215+M215+P215</f>
        <v>5923</v>
      </c>
      <c r="R215" s="212"/>
      <c r="S215" s="212"/>
      <c r="Z215" s="209">
        <v>0</v>
      </c>
      <c r="AA215" s="130">
        <f>D215+Z215</f>
        <v>5923</v>
      </c>
      <c r="IQ215" s="95"/>
      <c r="IR215" s="95"/>
      <c r="IS215" s="95"/>
      <c r="IT215" s="95"/>
      <c r="IU215" s="95"/>
    </row>
    <row r="216" spans="2:255" s="93" customFormat="1" ht="16.5" customHeight="1">
      <c r="B216" s="43" t="s">
        <v>66</v>
      </c>
      <c r="C216" s="106" t="s">
        <v>30</v>
      </c>
      <c r="D216" s="82"/>
      <c r="E216" s="82"/>
      <c r="F216" s="83"/>
      <c r="G216" s="29">
        <v>0</v>
      </c>
      <c r="H216" s="82"/>
      <c r="I216" s="83"/>
      <c r="J216" s="29"/>
      <c r="K216" s="82"/>
      <c r="L216" s="83"/>
      <c r="M216" s="29"/>
      <c r="N216" s="82"/>
      <c r="O216" s="83"/>
      <c r="P216" s="29"/>
      <c r="Q216" s="29"/>
      <c r="R216" s="212"/>
      <c r="S216" s="212"/>
      <c r="Z216" s="209">
        <v>0</v>
      </c>
      <c r="AA216" s="130">
        <f>D216+Z216</f>
        <v>0</v>
      </c>
      <c r="IQ216" s="95"/>
      <c r="IR216" s="95"/>
      <c r="IS216" s="95"/>
      <c r="IT216" s="95"/>
      <c r="IU216" s="95"/>
    </row>
    <row r="217" spans="2:255" s="93" customFormat="1" ht="16.5" customHeight="1">
      <c r="B217" s="38" t="s">
        <v>67</v>
      </c>
      <c r="C217" s="106" t="s">
        <v>27</v>
      </c>
      <c r="D217" s="82">
        <f>G217+J217+M217+P217</f>
        <v>1125</v>
      </c>
      <c r="E217" s="82">
        <v>1</v>
      </c>
      <c r="F217" s="83"/>
      <c r="G217" s="29">
        <v>14</v>
      </c>
      <c r="H217" s="82">
        <v>51</v>
      </c>
      <c r="I217" s="83"/>
      <c r="J217" s="29">
        <f>140-14</f>
        <v>126</v>
      </c>
      <c r="K217" s="82">
        <v>58</v>
      </c>
      <c r="L217" s="83"/>
      <c r="M217" s="29">
        <v>0</v>
      </c>
      <c r="N217" s="82"/>
      <c r="O217" s="83"/>
      <c r="P217" s="29">
        <f>1125-14-126</f>
        <v>985</v>
      </c>
      <c r="Q217" s="29">
        <f>G217+J217+M217+P217</f>
        <v>1125</v>
      </c>
      <c r="R217" s="212"/>
      <c r="S217" s="212"/>
      <c r="Z217" s="209">
        <v>0</v>
      </c>
      <c r="AA217" s="130">
        <f>D217+Z217</f>
        <v>1125</v>
      </c>
      <c r="IQ217" s="95"/>
      <c r="IR217" s="95"/>
      <c r="IS217" s="95"/>
      <c r="IT217" s="95"/>
      <c r="IU217" s="95"/>
    </row>
    <row r="218" spans="2:255" s="93" customFormat="1" ht="16.5" customHeight="1" hidden="1">
      <c r="B218" s="38"/>
      <c r="C218" s="43"/>
      <c r="D218" s="82"/>
      <c r="E218" s="82"/>
      <c r="F218" s="83"/>
      <c r="G218" s="29"/>
      <c r="H218" s="82"/>
      <c r="I218" s="83"/>
      <c r="J218" s="29"/>
      <c r="K218" s="82"/>
      <c r="L218" s="83"/>
      <c r="M218" s="29">
        <f>K218+L218</f>
        <v>0</v>
      </c>
      <c r="N218" s="82"/>
      <c r="O218" s="83"/>
      <c r="P218" s="29">
        <f>N218+O218</f>
        <v>0</v>
      </c>
      <c r="Q218" s="29"/>
      <c r="R218" s="212"/>
      <c r="S218" s="212"/>
      <c r="Z218" s="216"/>
      <c r="AA218" s="216"/>
      <c r="IQ218" s="95"/>
      <c r="IR218" s="95"/>
      <c r="IS218" s="95"/>
      <c r="IT218" s="95"/>
      <c r="IU218" s="95"/>
    </row>
    <row r="219" spans="2:255" s="93" customFormat="1" ht="16.5" customHeight="1" hidden="1">
      <c r="B219" s="39"/>
      <c r="C219" s="107"/>
      <c r="D219" s="101">
        <f>D220+D221+D222</f>
        <v>7048</v>
      </c>
      <c r="E219" s="101">
        <v>0</v>
      </c>
      <c r="F219" s="102">
        <f aca="true" t="shared" si="53" ref="F219:P219">F220+F221+F222</f>
        <v>0</v>
      </c>
      <c r="G219" s="101">
        <f t="shared" si="53"/>
        <v>84</v>
      </c>
      <c r="H219" s="101">
        <f t="shared" si="53"/>
        <v>313</v>
      </c>
      <c r="I219" s="101">
        <f t="shared" si="53"/>
        <v>0</v>
      </c>
      <c r="J219" s="101">
        <f t="shared" si="53"/>
        <v>784</v>
      </c>
      <c r="K219" s="101">
        <f t="shared" si="53"/>
        <v>364</v>
      </c>
      <c r="L219" s="101">
        <f t="shared" si="53"/>
        <v>0</v>
      </c>
      <c r="M219" s="101">
        <f t="shared" si="53"/>
        <v>0</v>
      </c>
      <c r="N219" s="101">
        <f t="shared" si="53"/>
        <v>0</v>
      </c>
      <c r="O219" s="101">
        <f t="shared" si="53"/>
        <v>0</v>
      </c>
      <c r="P219" s="101">
        <f t="shared" si="53"/>
        <v>6180</v>
      </c>
      <c r="Q219" s="101">
        <f>Q220+Q222</f>
        <v>7048</v>
      </c>
      <c r="R219" s="212"/>
      <c r="S219" s="212"/>
      <c r="Z219" s="216"/>
      <c r="AA219" s="216"/>
      <c r="IQ219" s="95"/>
      <c r="IR219" s="95"/>
      <c r="IS219" s="95"/>
      <c r="IT219" s="95"/>
      <c r="IU219" s="95"/>
    </row>
    <row r="220" spans="2:255" s="93" customFormat="1" ht="16.5" customHeight="1" hidden="1">
      <c r="B220" s="38" t="s">
        <v>68</v>
      </c>
      <c r="C220" s="105" t="s">
        <v>81</v>
      </c>
      <c r="D220" s="82">
        <f>G220+J220+M220+P220</f>
        <v>5923</v>
      </c>
      <c r="E220" s="82">
        <f aca="true" t="shared" si="54" ref="E220:Q220">E215</f>
        <v>9</v>
      </c>
      <c r="F220" s="82">
        <f t="shared" si="54"/>
        <v>0</v>
      </c>
      <c r="G220" s="82">
        <f t="shared" si="54"/>
        <v>70</v>
      </c>
      <c r="H220" s="82">
        <f t="shared" si="54"/>
        <v>262</v>
      </c>
      <c r="I220" s="82">
        <f t="shared" si="54"/>
        <v>0</v>
      </c>
      <c r="J220" s="82">
        <f t="shared" si="54"/>
        <v>658</v>
      </c>
      <c r="K220" s="82">
        <f t="shared" si="54"/>
        <v>306</v>
      </c>
      <c r="L220" s="82">
        <f t="shared" si="54"/>
        <v>0</v>
      </c>
      <c r="M220" s="82">
        <f t="shared" si="54"/>
        <v>0</v>
      </c>
      <c r="N220" s="82">
        <f t="shared" si="54"/>
        <v>0</v>
      </c>
      <c r="O220" s="82">
        <f t="shared" si="54"/>
        <v>0</v>
      </c>
      <c r="P220" s="82">
        <f t="shared" si="54"/>
        <v>5195</v>
      </c>
      <c r="Q220" s="82">
        <f t="shared" si="54"/>
        <v>5923</v>
      </c>
      <c r="R220" s="212"/>
      <c r="S220" s="212"/>
      <c r="Z220" s="216"/>
      <c r="AA220" s="216"/>
      <c r="IQ220" s="95"/>
      <c r="IR220" s="95"/>
      <c r="IS220" s="95"/>
      <c r="IT220" s="95"/>
      <c r="IU220" s="95"/>
    </row>
    <row r="221" spans="2:255" s="93" customFormat="1" ht="16.5" customHeight="1" hidden="1">
      <c r="B221" s="38" t="s">
        <v>69</v>
      </c>
      <c r="C221" s="105" t="s">
        <v>79</v>
      </c>
      <c r="D221" s="82"/>
      <c r="E221" s="82"/>
      <c r="F221" s="82"/>
      <c r="G221" s="82"/>
      <c r="H221" s="82"/>
      <c r="I221" s="82"/>
      <c r="J221" s="82"/>
      <c r="K221" s="82"/>
      <c r="L221" s="82"/>
      <c r="M221" s="82"/>
      <c r="N221" s="82"/>
      <c r="O221" s="82"/>
      <c r="P221" s="82"/>
      <c r="Q221" s="82"/>
      <c r="R221" s="212"/>
      <c r="S221" s="212"/>
      <c r="Z221" s="216"/>
      <c r="AA221" s="216"/>
      <c r="IQ221" s="95"/>
      <c r="IR221" s="95"/>
      <c r="IS221" s="95"/>
      <c r="IT221" s="95"/>
      <c r="IU221" s="95"/>
    </row>
    <row r="222" spans="2:255" s="93" customFormat="1" ht="16.5" customHeight="1" hidden="1">
      <c r="B222" s="38" t="s">
        <v>70</v>
      </c>
      <c r="C222" s="105" t="s">
        <v>82</v>
      </c>
      <c r="D222" s="82">
        <f>G222+J222+M222+P222</f>
        <v>1125</v>
      </c>
      <c r="E222" s="82">
        <f aca="true" t="shared" si="55" ref="E222:Q222">E217</f>
        <v>1</v>
      </c>
      <c r="F222" s="82">
        <f t="shared" si="55"/>
        <v>0</v>
      </c>
      <c r="G222" s="82">
        <f t="shared" si="55"/>
        <v>14</v>
      </c>
      <c r="H222" s="82">
        <f t="shared" si="55"/>
        <v>51</v>
      </c>
      <c r="I222" s="82">
        <f t="shared" si="55"/>
        <v>0</v>
      </c>
      <c r="J222" s="82">
        <f t="shared" si="55"/>
        <v>126</v>
      </c>
      <c r="K222" s="82">
        <f t="shared" si="55"/>
        <v>58</v>
      </c>
      <c r="L222" s="82">
        <f t="shared" si="55"/>
        <v>0</v>
      </c>
      <c r="M222" s="82">
        <f t="shared" si="55"/>
        <v>0</v>
      </c>
      <c r="N222" s="82">
        <f t="shared" si="55"/>
        <v>0</v>
      </c>
      <c r="O222" s="82">
        <f t="shared" si="55"/>
        <v>0</v>
      </c>
      <c r="P222" s="82">
        <f t="shared" si="55"/>
        <v>985</v>
      </c>
      <c r="Q222" s="82">
        <f t="shared" si="55"/>
        <v>1125</v>
      </c>
      <c r="R222" s="212"/>
      <c r="S222" s="212"/>
      <c r="Z222" s="216"/>
      <c r="AA222" s="216"/>
      <c r="IQ222" s="95"/>
      <c r="IR222" s="95"/>
      <c r="IS222" s="95"/>
      <c r="IT222" s="95"/>
      <c r="IU222" s="95"/>
    </row>
    <row r="223" spans="1:255" s="93" customFormat="1" ht="27" customHeight="1">
      <c r="A223" s="93">
        <v>22</v>
      </c>
      <c r="B223" s="78" t="s">
        <v>60</v>
      </c>
      <c r="C223" s="78" t="s">
        <v>83</v>
      </c>
      <c r="D223" s="41">
        <f aca="true" t="shared" si="56" ref="D223:Q223">D224+D226</f>
        <v>8800</v>
      </c>
      <c r="E223" s="41">
        <f t="shared" si="56"/>
        <v>10</v>
      </c>
      <c r="F223" s="42">
        <f t="shared" si="56"/>
        <v>0</v>
      </c>
      <c r="G223" s="41">
        <f t="shared" si="56"/>
        <v>175</v>
      </c>
      <c r="H223" s="41">
        <f t="shared" si="56"/>
        <v>334</v>
      </c>
      <c r="I223" s="42">
        <f t="shared" si="56"/>
        <v>0</v>
      </c>
      <c r="J223" s="41">
        <f t="shared" si="56"/>
        <v>325</v>
      </c>
      <c r="K223" s="41">
        <f t="shared" si="56"/>
        <v>338</v>
      </c>
      <c r="L223" s="42">
        <f t="shared" si="56"/>
        <v>0</v>
      </c>
      <c r="M223" s="41">
        <f t="shared" si="56"/>
        <v>0</v>
      </c>
      <c r="N223" s="41">
        <f t="shared" si="56"/>
        <v>0</v>
      </c>
      <c r="O223" s="42">
        <f t="shared" si="56"/>
        <v>0</v>
      </c>
      <c r="P223" s="41">
        <f t="shared" si="56"/>
        <v>8300</v>
      </c>
      <c r="Q223" s="41">
        <f t="shared" si="56"/>
        <v>8800</v>
      </c>
      <c r="R223" s="212"/>
      <c r="S223" s="212"/>
      <c r="Z223" s="233">
        <v>0</v>
      </c>
      <c r="AA223" s="226">
        <f>D223+Z223</f>
        <v>8800</v>
      </c>
      <c r="IQ223" s="95"/>
      <c r="IR223" s="95"/>
      <c r="IS223" s="95"/>
      <c r="IT223" s="95"/>
      <c r="IU223" s="95"/>
    </row>
    <row r="224" spans="2:255" s="93" customFormat="1" ht="16.5" customHeight="1">
      <c r="B224" s="43" t="s">
        <v>65</v>
      </c>
      <c r="C224" s="106" t="s">
        <v>23</v>
      </c>
      <c r="D224" s="45">
        <f>G224+J224+M224+P224</f>
        <v>7395</v>
      </c>
      <c r="E224" s="45">
        <v>9</v>
      </c>
      <c r="F224" s="53"/>
      <c r="G224" s="33">
        <v>147</v>
      </c>
      <c r="H224" s="45">
        <v>280</v>
      </c>
      <c r="I224" s="53"/>
      <c r="J224" s="33">
        <v>273</v>
      </c>
      <c r="K224" s="45">
        <v>284</v>
      </c>
      <c r="L224" s="53"/>
      <c r="M224" s="33">
        <v>0</v>
      </c>
      <c r="N224" s="45"/>
      <c r="O224" s="53"/>
      <c r="P224" s="33">
        <v>6975</v>
      </c>
      <c r="Q224" s="29">
        <f>G224+J224+M224+P224</f>
        <v>7395</v>
      </c>
      <c r="R224" s="212"/>
      <c r="S224" s="212"/>
      <c r="Z224" s="209">
        <v>0</v>
      </c>
      <c r="AA224" s="130">
        <f>D224+Z224</f>
        <v>7395</v>
      </c>
      <c r="IQ224" s="95"/>
      <c r="IR224" s="95"/>
      <c r="IS224" s="95"/>
      <c r="IT224" s="95"/>
      <c r="IU224" s="95"/>
    </row>
    <row r="225" spans="2:255" s="93" customFormat="1" ht="16.5" customHeight="1">
      <c r="B225" s="43" t="s">
        <v>66</v>
      </c>
      <c r="C225" s="106" t="s">
        <v>30</v>
      </c>
      <c r="D225" s="45"/>
      <c r="E225" s="45"/>
      <c r="F225" s="53"/>
      <c r="G225" s="33"/>
      <c r="H225" s="45"/>
      <c r="I225" s="53"/>
      <c r="J225" s="33"/>
      <c r="K225" s="45"/>
      <c r="L225" s="53"/>
      <c r="M225" s="33"/>
      <c r="N225" s="45"/>
      <c r="O225" s="53"/>
      <c r="P225" s="33"/>
      <c r="Q225" s="29"/>
      <c r="R225" s="212"/>
      <c r="S225" s="212"/>
      <c r="Z225" s="209">
        <v>0</v>
      </c>
      <c r="AA225" s="130">
        <f>D225+Z225</f>
        <v>0</v>
      </c>
      <c r="IQ225" s="95"/>
      <c r="IR225" s="95"/>
      <c r="IS225" s="95"/>
      <c r="IT225" s="95"/>
      <c r="IU225" s="95"/>
    </row>
    <row r="226" spans="2:255" s="93" customFormat="1" ht="16.5" customHeight="1">
      <c r="B226" s="38" t="s">
        <v>67</v>
      </c>
      <c r="C226" s="106" t="s">
        <v>27</v>
      </c>
      <c r="D226" s="45">
        <f>G226+J226+M226+P226</f>
        <v>1405</v>
      </c>
      <c r="E226" s="45">
        <v>1</v>
      </c>
      <c r="F226" s="53"/>
      <c r="G226" s="33">
        <v>28</v>
      </c>
      <c r="H226" s="45">
        <v>54</v>
      </c>
      <c r="I226" s="53"/>
      <c r="J226" s="33">
        <v>52</v>
      </c>
      <c r="K226" s="45">
        <v>54</v>
      </c>
      <c r="L226" s="53"/>
      <c r="M226" s="33">
        <v>0</v>
      </c>
      <c r="N226" s="45"/>
      <c r="O226" s="53"/>
      <c r="P226" s="33">
        <v>1325</v>
      </c>
      <c r="Q226" s="29">
        <f>G226+J226+M226+P226</f>
        <v>1405</v>
      </c>
      <c r="R226" s="212"/>
      <c r="S226" s="212"/>
      <c r="Z226" s="209">
        <v>0</v>
      </c>
      <c r="AA226" s="130">
        <f>D226+Z226</f>
        <v>1405</v>
      </c>
      <c r="IQ226" s="95"/>
      <c r="IR226" s="95"/>
      <c r="IS226" s="95"/>
      <c r="IT226" s="95"/>
      <c r="IU226" s="95"/>
    </row>
    <row r="227" spans="2:255" s="93" customFormat="1" ht="16.5" customHeight="1" hidden="1">
      <c r="B227" s="38"/>
      <c r="C227" s="43"/>
      <c r="D227" s="45"/>
      <c r="E227" s="45"/>
      <c r="F227" s="53"/>
      <c r="G227" s="33"/>
      <c r="H227" s="45"/>
      <c r="I227" s="53"/>
      <c r="J227" s="33"/>
      <c r="K227" s="45"/>
      <c r="L227" s="53"/>
      <c r="M227" s="33">
        <f>K227+L227</f>
        <v>0</v>
      </c>
      <c r="N227" s="45"/>
      <c r="O227" s="53"/>
      <c r="P227" s="33">
        <f>N227+O227</f>
        <v>0</v>
      </c>
      <c r="Q227" s="29"/>
      <c r="R227" s="212"/>
      <c r="S227" s="212"/>
      <c r="Z227" s="216"/>
      <c r="AA227" s="216"/>
      <c r="IQ227" s="95"/>
      <c r="IR227" s="95"/>
      <c r="IS227" s="95"/>
      <c r="IT227" s="95"/>
      <c r="IU227" s="95"/>
    </row>
    <row r="228" spans="2:255" s="93" customFormat="1" ht="16.5" customHeight="1" hidden="1">
      <c r="B228" s="39"/>
      <c r="C228" s="107"/>
      <c r="D228" s="101">
        <f>D229+D230+D231</f>
        <v>8800</v>
      </c>
      <c r="E228" s="101">
        <v>0</v>
      </c>
      <c r="F228" s="102">
        <f aca="true" t="shared" si="57" ref="F228:P228">F229+F230+F231</f>
        <v>0</v>
      </c>
      <c r="G228" s="101">
        <f t="shared" si="57"/>
        <v>175</v>
      </c>
      <c r="H228" s="101">
        <f t="shared" si="57"/>
        <v>334</v>
      </c>
      <c r="I228" s="101">
        <f t="shared" si="57"/>
        <v>0</v>
      </c>
      <c r="J228" s="101">
        <f t="shared" si="57"/>
        <v>325</v>
      </c>
      <c r="K228" s="101">
        <f t="shared" si="57"/>
        <v>338</v>
      </c>
      <c r="L228" s="101">
        <f t="shared" si="57"/>
        <v>0</v>
      </c>
      <c r="M228" s="101">
        <f t="shared" si="57"/>
        <v>0</v>
      </c>
      <c r="N228" s="101">
        <f t="shared" si="57"/>
        <v>0</v>
      </c>
      <c r="O228" s="101">
        <f t="shared" si="57"/>
        <v>0</v>
      </c>
      <c r="P228" s="101">
        <f t="shared" si="57"/>
        <v>8300</v>
      </c>
      <c r="Q228" s="101">
        <f>Q229+Q231</f>
        <v>8800</v>
      </c>
      <c r="R228" s="212"/>
      <c r="S228" s="212"/>
      <c r="Z228" s="216"/>
      <c r="AA228" s="216"/>
      <c r="IQ228" s="95"/>
      <c r="IR228" s="95"/>
      <c r="IS228" s="95"/>
      <c r="IT228" s="95"/>
      <c r="IU228" s="95"/>
    </row>
    <row r="229" spans="2:255" s="93" customFormat="1" ht="16.5" customHeight="1" hidden="1">
      <c r="B229" s="38" t="s">
        <v>68</v>
      </c>
      <c r="C229" s="105" t="s">
        <v>81</v>
      </c>
      <c r="D229" s="82">
        <f>G229+J229+M229+P229</f>
        <v>7395</v>
      </c>
      <c r="E229" s="82">
        <f aca="true" t="shared" si="58" ref="E229:Q229">E224</f>
        <v>9</v>
      </c>
      <c r="F229" s="82">
        <f t="shared" si="58"/>
        <v>0</v>
      </c>
      <c r="G229" s="82">
        <f t="shared" si="58"/>
        <v>147</v>
      </c>
      <c r="H229" s="82">
        <f t="shared" si="58"/>
        <v>280</v>
      </c>
      <c r="I229" s="82">
        <f t="shared" si="58"/>
        <v>0</v>
      </c>
      <c r="J229" s="82">
        <f t="shared" si="58"/>
        <v>273</v>
      </c>
      <c r="K229" s="82">
        <f t="shared" si="58"/>
        <v>284</v>
      </c>
      <c r="L229" s="82">
        <f t="shared" si="58"/>
        <v>0</v>
      </c>
      <c r="M229" s="82">
        <f t="shared" si="58"/>
        <v>0</v>
      </c>
      <c r="N229" s="82">
        <f t="shared" si="58"/>
        <v>0</v>
      </c>
      <c r="O229" s="82">
        <f t="shared" si="58"/>
        <v>0</v>
      </c>
      <c r="P229" s="82">
        <f t="shared" si="58"/>
        <v>6975</v>
      </c>
      <c r="Q229" s="82">
        <f t="shared" si="58"/>
        <v>7395</v>
      </c>
      <c r="R229" s="212"/>
      <c r="S229" s="212"/>
      <c r="Z229" s="216"/>
      <c r="AA229" s="216"/>
      <c r="IQ229" s="95"/>
      <c r="IR229" s="95"/>
      <c r="IS229" s="95"/>
      <c r="IT229" s="95"/>
      <c r="IU229" s="95"/>
    </row>
    <row r="230" spans="2:255" s="93" customFormat="1" ht="16.5" customHeight="1" hidden="1">
      <c r="B230" s="38" t="s">
        <v>69</v>
      </c>
      <c r="C230" s="105" t="s">
        <v>79</v>
      </c>
      <c r="D230" s="82"/>
      <c r="E230" s="82"/>
      <c r="F230" s="82"/>
      <c r="G230" s="82"/>
      <c r="H230" s="82"/>
      <c r="I230" s="82"/>
      <c r="J230" s="82"/>
      <c r="K230" s="82"/>
      <c r="L230" s="82"/>
      <c r="M230" s="82"/>
      <c r="N230" s="82"/>
      <c r="O230" s="82"/>
      <c r="P230" s="82"/>
      <c r="Q230" s="82"/>
      <c r="R230" s="212"/>
      <c r="S230" s="212"/>
      <c r="Z230" s="216"/>
      <c r="AA230" s="216"/>
      <c r="IQ230" s="95"/>
      <c r="IR230" s="95"/>
      <c r="IS230" s="95"/>
      <c r="IT230" s="95"/>
      <c r="IU230" s="95"/>
    </row>
    <row r="231" spans="2:255" s="93" customFormat="1" ht="16.5" customHeight="1" hidden="1">
      <c r="B231" s="38" t="s">
        <v>70</v>
      </c>
      <c r="C231" s="105" t="s">
        <v>82</v>
      </c>
      <c r="D231" s="82">
        <f>G231+J231+M231+P231</f>
        <v>1405</v>
      </c>
      <c r="E231" s="82">
        <f aca="true" t="shared" si="59" ref="E231:Q231">E226</f>
        <v>1</v>
      </c>
      <c r="F231" s="82">
        <f t="shared" si="59"/>
        <v>0</v>
      </c>
      <c r="G231" s="82">
        <f t="shared" si="59"/>
        <v>28</v>
      </c>
      <c r="H231" s="82">
        <f t="shared" si="59"/>
        <v>54</v>
      </c>
      <c r="I231" s="82">
        <f t="shared" si="59"/>
        <v>0</v>
      </c>
      <c r="J231" s="82">
        <f t="shared" si="59"/>
        <v>52</v>
      </c>
      <c r="K231" s="82">
        <f t="shared" si="59"/>
        <v>54</v>
      </c>
      <c r="L231" s="82">
        <f t="shared" si="59"/>
        <v>0</v>
      </c>
      <c r="M231" s="82">
        <f t="shared" si="59"/>
        <v>0</v>
      </c>
      <c r="N231" s="82">
        <f t="shared" si="59"/>
        <v>0</v>
      </c>
      <c r="O231" s="82">
        <f t="shared" si="59"/>
        <v>0</v>
      </c>
      <c r="P231" s="82">
        <f t="shared" si="59"/>
        <v>1325</v>
      </c>
      <c r="Q231" s="82">
        <f t="shared" si="59"/>
        <v>1405</v>
      </c>
      <c r="R231" s="212"/>
      <c r="S231" s="212"/>
      <c r="Z231" s="216"/>
      <c r="AA231" s="216"/>
      <c r="IQ231" s="95"/>
      <c r="IR231" s="95"/>
      <c r="IS231" s="95"/>
      <c r="IT231" s="95"/>
      <c r="IU231" s="95"/>
    </row>
    <row r="232" spans="1:255" s="93" customFormat="1" ht="30" customHeight="1">
      <c r="A232" s="93">
        <v>23</v>
      </c>
      <c r="B232" s="78" t="s">
        <v>60</v>
      </c>
      <c r="C232" s="78" t="s">
        <v>84</v>
      </c>
      <c r="D232" s="41">
        <f>G232+P232</f>
        <v>1006</v>
      </c>
      <c r="E232" s="41">
        <f>E233+E235</f>
        <v>10</v>
      </c>
      <c r="F232" s="42">
        <f>F233+F235</f>
        <v>0</v>
      </c>
      <c r="G232" s="41">
        <f>G233+G235</f>
        <v>574</v>
      </c>
      <c r="H232" s="41"/>
      <c r="I232" s="42"/>
      <c r="J232" s="41"/>
      <c r="K232" s="41"/>
      <c r="L232" s="42"/>
      <c r="M232" s="41"/>
      <c r="N232" s="41"/>
      <c r="O232" s="42"/>
      <c r="P232" s="42">
        <f>P233+P235</f>
        <v>432</v>
      </c>
      <c r="Q232" s="41">
        <f>Q233+Q235+Q234</f>
        <v>1006</v>
      </c>
      <c r="R232" s="212"/>
      <c r="S232" s="212"/>
      <c r="Z232" s="233">
        <v>0</v>
      </c>
      <c r="AA232" s="226">
        <f>D232+Z232</f>
        <v>1006</v>
      </c>
      <c r="IQ232" s="95"/>
      <c r="IR232" s="95"/>
      <c r="IS232" s="95"/>
      <c r="IT232" s="95"/>
      <c r="IU232" s="95"/>
    </row>
    <row r="233" spans="2:255" s="93" customFormat="1" ht="16.5" customHeight="1">
      <c r="B233" s="43" t="s">
        <v>65</v>
      </c>
      <c r="C233" s="106" t="s">
        <v>23</v>
      </c>
      <c r="D233" s="82">
        <f>G233+P233</f>
        <v>845</v>
      </c>
      <c r="E233" s="82">
        <v>9</v>
      </c>
      <c r="F233" s="83"/>
      <c r="G233" s="29">
        <v>482</v>
      </c>
      <c r="H233" s="82"/>
      <c r="I233" s="83"/>
      <c r="J233" s="29"/>
      <c r="K233" s="82"/>
      <c r="L233" s="83"/>
      <c r="M233" s="29"/>
      <c r="N233" s="82"/>
      <c r="O233" s="83"/>
      <c r="P233" s="29">
        <v>363</v>
      </c>
      <c r="Q233" s="29">
        <f>G233+J233+M233+P233</f>
        <v>845</v>
      </c>
      <c r="R233" s="212"/>
      <c r="S233" s="212"/>
      <c r="Z233" s="209">
        <v>0</v>
      </c>
      <c r="AA233" s="130">
        <f>D233+Z233</f>
        <v>845</v>
      </c>
      <c r="IQ233" s="95"/>
      <c r="IR233" s="95"/>
      <c r="IS233" s="95"/>
      <c r="IT233" s="95"/>
      <c r="IU233" s="95"/>
    </row>
    <row r="234" spans="2:255" s="93" customFormat="1" ht="16.5" customHeight="1">
      <c r="B234" s="43" t="s">
        <v>66</v>
      </c>
      <c r="C234" s="106" t="s">
        <v>30</v>
      </c>
      <c r="D234" s="82">
        <f>E234+H234+K234+N234</f>
        <v>0</v>
      </c>
      <c r="E234" s="82"/>
      <c r="F234" s="83"/>
      <c r="G234" s="29"/>
      <c r="H234" s="82"/>
      <c r="I234" s="83"/>
      <c r="J234" s="29"/>
      <c r="K234" s="82"/>
      <c r="L234" s="83"/>
      <c r="M234" s="29"/>
      <c r="N234" s="82"/>
      <c r="O234" s="83"/>
      <c r="P234" s="29"/>
      <c r="Q234" s="29">
        <f>G234+J234+M234+P234</f>
        <v>0</v>
      </c>
      <c r="R234" s="212"/>
      <c r="S234" s="212"/>
      <c r="Z234" s="209">
        <v>0</v>
      </c>
      <c r="AA234" s="130">
        <f>D234+Z234</f>
        <v>0</v>
      </c>
      <c r="IQ234" s="95"/>
      <c r="IR234" s="95"/>
      <c r="IS234" s="95"/>
      <c r="IT234" s="95"/>
      <c r="IU234" s="95"/>
    </row>
    <row r="235" spans="2:255" s="93" customFormat="1" ht="16.5" customHeight="1">
      <c r="B235" s="38" t="s">
        <v>67</v>
      </c>
      <c r="C235" s="106" t="s">
        <v>27</v>
      </c>
      <c r="D235" s="82">
        <f>G235+P235</f>
        <v>161</v>
      </c>
      <c r="E235" s="82">
        <v>1</v>
      </c>
      <c r="F235" s="83"/>
      <c r="G235" s="29">
        <v>92</v>
      </c>
      <c r="H235" s="82"/>
      <c r="I235" s="83"/>
      <c r="J235" s="29"/>
      <c r="K235" s="82"/>
      <c r="L235" s="83"/>
      <c r="M235" s="29"/>
      <c r="N235" s="82"/>
      <c r="O235" s="83"/>
      <c r="P235" s="29">
        <v>69</v>
      </c>
      <c r="Q235" s="29">
        <f>G235+J235+M235+P235</f>
        <v>161</v>
      </c>
      <c r="R235" s="212"/>
      <c r="S235" s="212"/>
      <c r="Z235" s="209">
        <v>0</v>
      </c>
      <c r="AA235" s="130">
        <f>D235+Z235</f>
        <v>161</v>
      </c>
      <c r="IQ235" s="95"/>
      <c r="IR235" s="95"/>
      <c r="IS235" s="95"/>
      <c r="IT235" s="95"/>
      <c r="IU235" s="95"/>
    </row>
    <row r="236" spans="2:255" s="93" customFormat="1" ht="16.5" customHeight="1" hidden="1">
      <c r="B236" s="38"/>
      <c r="C236" s="43"/>
      <c r="D236" s="82"/>
      <c r="E236" s="82"/>
      <c r="F236" s="83"/>
      <c r="G236" s="29"/>
      <c r="H236" s="82"/>
      <c r="I236" s="83"/>
      <c r="J236" s="29"/>
      <c r="K236" s="82"/>
      <c r="L236" s="83"/>
      <c r="M236" s="29"/>
      <c r="N236" s="82"/>
      <c r="O236" s="83"/>
      <c r="P236" s="29"/>
      <c r="Q236" s="29"/>
      <c r="R236" s="212"/>
      <c r="S236" s="212"/>
      <c r="Z236" s="216"/>
      <c r="AA236" s="216"/>
      <c r="IQ236" s="95"/>
      <c r="IR236" s="95"/>
      <c r="IS236" s="95"/>
      <c r="IT236" s="95"/>
      <c r="IU236" s="95"/>
    </row>
    <row r="237" spans="2:255" s="93" customFormat="1" ht="16.5" customHeight="1" hidden="1">
      <c r="B237" s="39"/>
      <c r="C237" s="107"/>
      <c r="D237" s="101">
        <f>D238+D239+D240</f>
        <v>1006</v>
      </c>
      <c r="E237" s="101">
        <v>0</v>
      </c>
      <c r="F237" s="102">
        <f aca="true" t="shared" si="60" ref="F237:Q237">F238+F239+F240</f>
        <v>0</v>
      </c>
      <c r="G237" s="101">
        <f t="shared" si="60"/>
        <v>574</v>
      </c>
      <c r="H237" s="101">
        <f t="shared" si="60"/>
        <v>0</v>
      </c>
      <c r="I237" s="101">
        <f t="shared" si="60"/>
        <v>0</v>
      </c>
      <c r="J237" s="101">
        <f t="shared" si="60"/>
        <v>0</v>
      </c>
      <c r="K237" s="101">
        <f t="shared" si="60"/>
        <v>0</v>
      </c>
      <c r="L237" s="101">
        <f t="shared" si="60"/>
        <v>0</v>
      </c>
      <c r="M237" s="101">
        <f t="shared" si="60"/>
        <v>0</v>
      </c>
      <c r="N237" s="101">
        <f t="shared" si="60"/>
        <v>0</v>
      </c>
      <c r="O237" s="101">
        <f t="shared" si="60"/>
        <v>0</v>
      </c>
      <c r="P237" s="101">
        <f t="shared" si="60"/>
        <v>432</v>
      </c>
      <c r="Q237" s="101">
        <f t="shared" si="60"/>
        <v>1006</v>
      </c>
      <c r="R237" s="212"/>
      <c r="S237" s="212"/>
      <c r="Z237" s="216"/>
      <c r="AA237" s="216"/>
      <c r="IQ237" s="95"/>
      <c r="IR237" s="95"/>
      <c r="IS237" s="95"/>
      <c r="IT237" s="95"/>
      <c r="IU237" s="95"/>
    </row>
    <row r="238" spans="2:255" s="93" customFormat="1" ht="16.5" customHeight="1" hidden="1">
      <c r="B238" s="38" t="s">
        <v>68</v>
      </c>
      <c r="C238" s="105" t="s">
        <v>81</v>
      </c>
      <c r="D238" s="82">
        <f>G238+P238</f>
        <v>845</v>
      </c>
      <c r="E238" s="82">
        <f>E233</f>
        <v>9</v>
      </c>
      <c r="F238" s="82">
        <f>F233</f>
        <v>0</v>
      </c>
      <c r="G238" s="82">
        <v>482</v>
      </c>
      <c r="H238" s="82"/>
      <c r="I238" s="82"/>
      <c r="J238" s="82"/>
      <c r="K238" s="82"/>
      <c r="L238" s="82"/>
      <c r="M238" s="82"/>
      <c r="N238" s="82"/>
      <c r="O238" s="82"/>
      <c r="P238" s="82">
        <v>363</v>
      </c>
      <c r="Q238" s="82">
        <f>G238+J238+M238+P238</f>
        <v>845</v>
      </c>
      <c r="R238" s="212"/>
      <c r="S238" s="212"/>
      <c r="Z238" s="216"/>
      <c r="AA238" s="216"/>
      <c r="IQ238" s="95"/>
      <c r="IR238" s="95"/>
      <c r="IS238" s="95"/>
      <c r="IT238" s="95"/>
      <c r="IU238" s="95"/>
    </row>
    <row r="239" spans="2:255" s="93" customFormat="1" ht="16.5" customHeight="1" hidden="1">
      <c r="B239" s="38" t="s">
        <v>69</v>
      </c>
      <c r="C239" s="105" t="s">
        <v>79</v>
      </c>
      <c r="D239" s="82">
        <f>E239+H239+K239+N239</f>
        <v>0</v>
      </c>
      <c r="E239" s="82"/>
      <c r="F239" s="82"/>
      <c r="G239" s="82"/>
      <c r="H239" s="82"/>
      <c r="I239" s="82"/>
      <c r="J239" s="82"/>
      <c r="K239" s="82"/>
      <c r="L239" s="82"/>
      <c r="M239" s="82"/>
      <c r="N239" s="82"/>
      <c r="O239" s="82"/>
      <c r="P239" s="82"/>
      <c r="Q239" s="82">
        <f>G239+J239+M239+P239</f>
        <v>0</v>
      </c>
      <c r="R239" s="212"/>
      <c r="S239" s="212"/>
      <c r="Z239" s="216"/>
      <c r="AA239" s="216"/>
      <c r="IQ239" s="95"/>
      <c r="IR239" s="95"/>
      <c r="IS239" s="95"/>
      <c r="IT239" s="95"/>
      <c r="IU239" s="95"/>
    </row>
    <row r="240" spans="2:255" s="93" customFormat="1" ht="16.5" customHeight="1" hidden="1">
      <c r="B240" s="38" t="s">
        <v>70</v>
      </c>
      <c r="C240" s="105" t="s">
        <v>82</v>
      </c>
      <c r="D240" s="82">
        <f>G240+P240</f>
        <v>161</v>
      </c>
      <c r="E240" s="82">
        <f>E235</f>
        <v>1</v>
      </c>
      <c r="F240" s="82">
        <f>F235</f>
        <v>0</v>
      </c>
      <c r="G240" s="82">
        <v>92</v>
      </c>
      <c r="H240" s="82"/>
      <c r="I240" s="82"/>
      <c r="J240" s="82"/>
      <c r="K240" s="82"/>
      <c r="L240" s="82"/>
      <c r="M240" s="82"/>
      <c r="N240" s="82"/>
      <c r="O240" s="82"/>
      <c r="P240" s="82">
        <v>69</v>
      </c>
      <c r="Q240" s="82">
        <f>G240+J240+M240+P240</f>
        <v>161</v>
      </c>
      <c r="R240" s="212"/>
      <c r="S240" s="212"/>
      <c r="Z240" s="216"/>
      <c r="AA240" s="216"/>
      <c r="IQ240" s="95"/>
      <c r="IR240" s="95"/>
      <c r="IS240" s="95"/>
      <c r="IT240" s="95"/>
      <c r="IU240" s="95"/>
    </row>
    <row r="241" spans="1:255" s="93" customFormat="1" ht="30.75" customHeight="1">
      <c r="A241" s="93">
        <v>24</v>
      </c>
      <c r="B241" s="104" t="s">
        <v>55</v>
      </c>
      <c r="C241" s="108" t="s">
        <v>85</v>
      </c>
      <c r="D241" s="41">
        <f aca="true" t="shared" si="61" ref="D241:Q241">D242+D244</f>
        <v>1498</v>
      </c>
      <c r="E241" s="41">
        <f t="shared" si="61"/>
        <v>7</v>
      </c>
      <c r="F241" s="42">
        <f t="shared" si="61"/>
        <v>0</v>
      </c>
      <c r="G241" s="41">
        <f t="shared" si="61"/>
        <v>628</v>
      </c>
      <c r="H241" s="41">
        <f t="shared" si="61"/>
        <v>325</v>
      </c>
      <c r="I241" s="42">
        <f t="shared" si="61"/>
        <v>0</v>
      </c>
      <c r="J241" s="41">
        <f t="shared" si="61"/>
        <v>0</v>
      </c>
      <c r="K241" s="41">
        <f t="shared" si="61"/>
        <v>634</v>
      </c>
      <c r="L241" s="42">
        <f t="shared" si="61"/>
        <v>0</v>
      </c>
      <c r="M241" s="41">
        <f t="shared" si="61"/>
        <v>870</v>
      </c>
      <c r="N241" s="41">
        <f t="shared" si="61"/>
        <v>0</v>
      </c>
      <c r="O241" s="42">
        <f t="shared" si="61"/>
        <v>0</v>
      </c>
      <c r="P241" s="41">
        <f t="shared" si="61"/>
        <v>0</v>
      </c>
      <c r="Q241" s="41">
        <f t="shared" si="61"/>
        <v>1498</v>
      </c>
      <c r="R241" s="212"/>
      <c r="S241" s="212"/>
      <c r="Z241" s="233">
        <v>0</v>
      </c>
      <c r="AA241" s="226">
        <f>D241+Z241</f>
        <v>1498</v>
      </c>
      <c r="IQ241" s="95"/>
      <c r="IR241" s="95"/>
      <c r="IS241" s="95"/>
      <c r="IT241" s="95"/>
      <c r="IU241" s="95"/>
    </row>
    <row r="242" spans="2:255" s="93" customFormat="1" ht="15.75" customHeight="1">
      <c r="B242" s="43" t="s">
        <v>65</v>
      </c>
      <c r="C242" s="106" t="s">
        <v>23</v>
      </c>
      <c r="D242" s="82">
        <f>G242+J242+M242+P242</f>
        <v>1259</v>
      </c>
      <c r="E242" s="82">
        <v>6</v>
      </c>
      <c r="F242" s="83"/>
      <c r="G242" s="33">
        <v>528</v>
      </c>
      <c r="H242" s="45">
        <v>273</v>
      </c>
      <c r="I242" s="53"/>
      <c r="J242" s="33">
        <v>0</v>
      </c>
      <c r="K242" s="45">
        <v>533</v>
      </c>
      <c r="L242" s="53"/>
      <c r="M242" s="33">
        <v>731</v>
      </c>
      <c r="N242" s="45">
        <v>0</v>
      </c>
      <c r="O242" s="53">
        <v>0</v>
      </c>
      <c r="P242" s="33">
        <f>N242+O242</f>
        <v>0</v>
      </c>
      <c r="Q242" s="33">
        <f>G242+J242+M242+P242</f>
        <v>1259</v>
      </c>
      <c r="R242" s="216"/>
      <c r="S242" s="212"/>
      <c r="Z242" s="209">
        <v>0</v>
      </c>
      <c r="AA242" s="130">
        <f>D242+Z242</f>
        <v>1259</v>
      </c>
      <c r="IQ242" s="95"/>
      <c r="IR242" s="95"/>
      <c r="IS242" s="95"/>
      <c r="IT242" s="95"/>
      <c r="IU242" s="95"/>
    </row>
    <row r="243" spans="2:255" s="93" customFormat="1" ht="16.5" customHeight="1">
      <c r="B243" s="43"/>
      <c r="C243" s="106"/>
      <c r="D243" s="82"/>
      <c r="E243" s="82"/>
      <c r="F243" s="83"/>
      <c r="G243" s="33"/>
      <c r="H243" s="45"/>
      <c r="I243" s="53"/>
      <c r="J243" s="33"/>
      <c r="K243" s="45"/>
      <c r="L243" s="53"/>
      <c r="M243" s="33"/>
      <c r="N243" s="45"/>
      <c r="O243" s="53"/>
      <c r="P243" s="33"/>
      <c r="Q243" s="33"/>
      <c r="R243" s="216"/>
      <c r="S243" s="212"/>
      <c r="Z243" s="209">
        <v>0</v>
      </c>
      <c r="AA243" s="130">
        <f>D243+Z243</f>
        <v>0</v>
      </c>
      <c r="IQ243" s="95"/>
      <c r="IR243" s="95"/>
      <c r="IS243" s="95"/>
      <c r="IT243" s="95"/>
      <c r="IU243" s="95"/>
    </row>
    <row r="244" spans="2:255" s="93" customFormat="1" ht="13.5" customHeight="1">
      <c r="B244" s="38" t="s">
        <v>67</v>
      </c>
      <c r="C244" s="106" t="s">
        <v>27</v>
      </c>
      <c r="D244" s="82">
        <f>G244+J244+M244+P244</f>
        <v>239</v>
      </c>
      <c r="E244" s="82">
        <v>1</v>
      </c>
      <c r="F244" s="83"/>
      <c r="G244" s="33">
        <v>100</v>
      </c>
      <c r="H244" s="45">
        <v>52</v>
      </c>
      <c r="I244" s="53"/>
      <c r="J244" s="33">
        <v>0</v>
      </c>
      <c r="K244" s="45">
        <v>101</v>
      </c>
      <c r="L244" s="53"/>
      <c r="M244" s="33">
        <v>139</v>
      </c>
      <c r="N244" s="45">
        <v>0</v>
      </c>
      <c r="O244" s="53">
        <v>0</v>
      </c>
      <c r="P244" s="33">
        <f>N244+O244</f>
        <v>0</v>
      </c>
      <c r="Q244" s="33">
        <f>G244+J244+M244+P244</f>
        <v>239</v>
      </c>
      <c r="R244" s="216"/>
      <c r="S244" s="212"/>
      <c r="Z244" s="209">
        <v>0</v>
      </c>
      <c r="AA244" s="130">
        <f>D244+Z244</f>
        <v>239</v>
      </c>
      <c r="IQ244" s="95"/>
      <c r="IR244" s="95"/>
      <c r="IS244" s="95"/>
      <c r="IT244" s="95"/>
      <c r="IU244" s="95"/>
    </row>
    <row r="245" spans="2:255" s="93" customFormat="1" ht="16.5" customHeight="1" hidden="1">
      <c r="B245" s="38"/>
      <c r="C245" s="43"/>
      <c r="D245" s="82"/>
      <c r="E245" s="82"/>
      <c r="F245" s="83"/>
      <c r="G245" s="29"/>
      <c r="H245" s="82"/>
      <c r="I245" s="83"/>
      <c r="J245" s="29"/>
      <c r="K245" s="82"/>
      <c r="L245" s="83"/>
      <c r="M245" s="29">
        <f>K245+L245</f>
        <v>0</v>
      </c>
      <c r="N245" s="82"/>
      <c r="O245" s="83"/>
      <c r="P245" s="29">
        <f>N245+O245</f>
        <v>0</v>
      </c>
      <c r="Q245" s="29"/>
      <c r="R245" s="212"/>
      <c r="S245" s="212"/>
      <c r="Z245" s="216"/>
      <c r="AA245" s="216"/>
      <c r="IQ245" s="95"/>
      <c r="IR245" s="95"/>
      <c r="IS245" s="95"/>
      <c r="IT245" s="95"/>
      <c r="IU245" s="95"/>
    </row>
    <row r="246" spans="2:255" s="93" customFormat="1" ht="12.75" customHeight="1" hidden="1">
      <c r="B246" s="39"/>
      <c r="C246" s="107"/>
      <c r="D246" s="101">
        <f>D247+D248+D249</f>
        <v>1498</v>
      </c>
      <c r="E246" s="101">
        <v>0</v>
      </c>
      <c r="F246" s="102">
        <f aca="true" t="shared" si="62" ref="F246:P246">F247+F248+F249</f>
        <v>0</v>
      </c>
      <c r="G246" s="101">
        <f t="shared" si="62"/>
        <v>628</v>
      </c>
      <c r="H246" s="101">
        <f t="shared" si="62"/>
        <v>325</v>
      </c>
      <c r="I246" s="101">
        <f t="shared" si="62"/>
        <v>0</v>
      </c>
      <c r="J246" s="101">
        <f t="shared" si="62"/>
        <v>0</v>
      </c>
      <c r="K246" s="101">
        <f t="shared" si="62"/>
        <v>634</v>
      </c>
      <c r="L246" s="101">
        <f t="shared" si="62"/>
        <v>0</v>
      </c>
      <c r="M246" s="101">
        <f t="shared" si="62"/>
        <v>870</v>
      </c>
      <c r="N246" s="101">
        <f t="shared" si="62"/>
        <v>0</v>
      </c>
      <c r="O246" s="101">
        <f t="shared" si="62"/>
        <v>0</v>
      </c>
      <c r="P246" s="101">
        <f t="shared" si="62"/>
        <v>0</v>
      </c>
      <c r="Q246" s="101">
        <f>Q247+Q249</f>
        <v>1498</v>
      </c>
      <c r="R246" s="212"/>
      <c r="S246" s="212"/>
      <c r="Z246" s="216"/>
      <c r="AA246" s="216"/>
      <c r="IQ246" s="95"/>
      <c r="IR246" s="95"/>
      <c r="IS246" s="95"/>
      <c r="IT246" s="95"/>
      <c r="IU246" s="95"/>
    </row>
    <row r="247" spans="2:255" s="93" customFormat="1" ht="20.25" customHeight="1" hidden="1">
      <c r="B247" s="38" t="s">
        <v>68</v>
      </c>
      <c r="C247" s="105" t="s">
        <v>81</v>
      </c>
      <c r="D247" s="82">
        <f>G247+J247+M247+P247</f>
        <v>1259</v>
      </c>
      <c r="E247" s="82">
        <f aca="true" t="shared" si="63" ref="E247:Q247">E242</f>
        <v>6</v>
      </c>
      <c r="F247" s="82">
        <f t="shared" si="63"/>
        <v>0</v>
      </c>
      <c r="G247" s="82">
        <f t="shared" si="63"/>
        <v>528</v>
      </c>
      <c r="H247" s="82">
        <f t="shared" si="63"/>
        <v>273</v>
      </c>
      <c r="I247" s="82">
        <f t="shared" si="63"/>
        <v>0</v>
      </c>
      <c r="J247" s="82">
        <f t="shared" si="63"/>
        <v>0</v>
      </c>
      <c r="K247" s="82">
        <f t="shared" si="63"/>
        <v>533</v>
      </c>
      <c r="L247" s="82">
        <f t="shared" si="63"/>
        <v>0</v>
      </c>
      <c r="M247" s="82">
        <f t="shared" si="63"/>
        <v>731</v>
      </c>
      <c r="N247" s="82">
        <f t="shared" si="63"/>
        <v>0</v>
      </c>
      <c r="O247" s="82">
        <f t="shared" si="63"/>
        <v>0</v>
      </c>
      <c r="P247" s="82">
        <f t="shared" si="63"/>
        <v>0</v>
      </c>
      <c r="Q247" s="82">
        <f t="shared" si="63"/>
        <v>1259</v>
      </c>
      <c r="R247" s="212"/>
      <c r="S247" s="212"/>
      <c r="Z247" s="216"/>
      <c r="AA247" s="216"/>
      <c r="IQ247" s="95"/>
      <c r="IR247" s="95"/>
      <c r="IS247" s="95"/>
      <c r="IT247" s="95"/>
      <c r="IU247" s="95"/>
    </row>
    <row r="248" spans="2:255" s="93" customFormat="1" ht="18" customHeight="1" hidden="1">
      <c r="B248" s="38" t="s">
        <v>69</v>
      </c>
      <c r="C248" s="105" t="s">
        <v>79</v>
      </c>
      <c r="D248" s="82"/>
      <c r="E248" s="82"/>
      <c r="F248" s="82"/>
      <c r="G248" s="82"/>
      <c r="H248" s="82"/>
      <c r="I248" s="82"/>
      <c r="J248" s="82"/>
      <c r="K248" s="82"/>
      <c r="L248" s="82"/>
      <c r="M248" s="82"/>
      <c r="N248" s="82"/>
      <c r="O248" s="82"/>
      <c r="P248" s="82"/>
      <c r="Q248" s="82"/>
      <c r="R248" s="212"/>
      <c r="S248" s="212"/>
      <c r="Z248" s="216"/>
      <c r="AA248" s="216"/>
      <c r="IQ248" s="95"/>
      <c r="IR248" s="95"/>
      <c r="IS248" s="95"/>
      <c r="IT248" s="95"/>
      <c r="IU248" s="95"/>
    </row>
    <row r="249" spans="2:255" s="93" customFormat="1" ht="21.75" customHeight="1" hidden="1">
      <c r="B249" s="38" t="s">
        <v>70</v>
      </c>
      <c r="C249" s="105" t="s">
        <v>82</v>
      </c>
      <c r="D249" s="82">
        <f>G249+J249+M249+P249</f>
        <v>239</v>
      </c>
      <c r="E249" s="82">
        <f aca="true" t="shared" si="64" ref="E249:Q249">E244</f>
        <v>1</v>
      </c>
      <c r="F249" s="82">
        <f t="shared" si="64"/>
        <v>0</v>
      </c>
      <c r="G249" s="82">
        <f t="shared" si="64"/>
        <v>100</v>
      </c>
      <c r="H249" s="82">
        <f t="shared" si="64"/>
        <v>52</v>
      </c>
      <c r="I249" s="82">
        <f t="shared" si="64"/>
        <v>0</v>
      </c>
      <c r="J249" s="82">
        <f t="shared" si="64"/>
        <v>0</v>
      </c>
      <c r="K249" s="82">
        <f t="shared" si="64"/>
        <v>101</v>
      </c>
      <c r="L249" s="82">
        <f t="shared" si="64"/>
        <v>0</v>
      </c>
      <c r="M249" s="82">
        <f t="shared" si="64"/>
        <v>139</v>
      </c>
      <c r="N249" s="82">
        <f t="shared" si="64"/>
        <v>0</v>
      </c>
      <c r="O249" s="82">
        <f t="shared" si="64"/>
        <v>0</v>
      </c>
      <c r="P249" s="82">
        <f t="shared" si="64"/>
        <v>0</v>
      </c>
      <c r="Q249" s="82">
        <f t="shared" si="64"/>
        <v>239</v>
      </c>
      <c r="R249" s="212"/>
      <c r="S249" s="212"/>
      <c r="Z249" s="216"/>
      <c r="AA249" s="216"/>
      <c r="IQ249" s="95"/>
      <c r="IR249" s="95"/>
      <c r="IS249" s="95"/>
      <c r="IT249" s="95"/>
      <c r="IU249" s="95"/>
    </row>
    <row r="250" spans="1:255" s="93" customFormat="1" ht="31.5" customHeight="1">
      <c r="A250" s="93">
        <v>25</v>
      </c>
      <c r="B250" s="104" t="s">
        <v>55</v>
      </c>
      <c r="C250" s="108" t="s">
        <v>86</v>
      </c>
      <c r="D250" s="41">
        <f aca="true" t="shared" si="65" ref="D250:Q250">D251+D252+D253</f>
        <v>1465</v>
      </c>
      <c r="E250" s="41">
        <f t="shared" si="65"/>
        <v>7</v>
      </c>
      <c r="F250" s="42">
        <f t="shared" si="65"/>
        <v>0</v>
      </c>
      <c r="G250" s="42">
        <f t="shared" si="65"/>
        <v>595</v>
      </c>
      <c r="H250" s="42">
        <f t="shared" si="65"/>
        <v>238</v>
      </c>
      <c r="I250" s="42">
        <f t="shared" si="65"/>
        <v>0</v>
      </c>
      <c r="J250" s="42">
        <f t="shared" si="65"/>
        <v>0</v>
      </c>
      <c r="K250" s="42">
        <f t="shared" si="65"/>
        <v>464</v>
      </c>
      <c r="L250" s="42">
        <f t="shared" si="65"/>
        <v>0</v>
      </c>
      <c r="M250" s="42">
        <f>M251+M252+M253</f>
        <v>870</v>
      </c>
      <c r="N250" s="42">
        <f t="shared" si="65"/>
        <v>0</v>
      </c>
      <c r="O250" s="42">
        <f t="shared" si="65"/>
        <v>0</v>
      </c>
      <c r="P250" s="42">
        <f t="shared" si="65"/>
        <v>0</v>
      </c>
      <c r="Q250" s="42">
        <f t="shared" si="65"/>
        <v>1465</v>
      </c>
      <c r="R250" s="212"/>
      <c r="S250" s="212"/>
      <c r="Z250" s="233">
        <v>0</v>
      </c>
      <c r="AA250" s="226">
        <f>D250+Z250</f>
        <v>1465</v>
      </c>
      <c r="IQ250" s="95"/>
      <c r="IR250" s="95"/>
      <c r="IS250" s="95"/>
      <c r="IT250" s="95"/>
      <c r="IU250" s="95"/>
    </row>
    <row r="251" spans="2:255" s="93" customFormat="1" ht="16.5" customHeight="1">
      <c r="B251" s="43" t="s">
        <v>65</v>
      </c>
      <c r="C251" s="106" t="s">
        <v>23</v>
      </c>
      <c r="D251" s="82">
        <f>G251+J251+M251+P251</f>
        <v>1231</v>
      </c>
      <c r="E251" s="82">
        <v>6</v>
      </c>
      <c r="F251" s="82">
        <f>F246</f>
        <v>0</v>
      </c>
      <c r="G251" s="82">
        <v>500</v>
      </c>
      <c r="H251" s="82">
        <v>-6</v>
      </c>
      <c r="I251" s="82">
        <v>0</v>
      </c>
      <c r="J251" s="82">
        <v>0</v>
      </c>
      <c r="K251" s="82">
        <v>0</v>
      </c>
      <c r="L251" s="82">
        <v>0</v>
      </c>
      <c r="M251" s="82">
        <v>731</v>
      </c>
      <c r="N251" s="82">
        <v>595</v>
      </c>
      <c r="O251" s="82">
        <v>0</v>
      </c>
      <c r="P251" s="82">
        <v>0</v>
      </c>
      <c r="Q251" s="82">
        <f>G251+J251+M251+P251</f>
        <v>1231</v>
      </c>
      <c r="R251" s="212"/>
      <c r="S251" s="212"/>
      <c r="Z251" s="209">
        <v>0</v>
      </c>
      <c r="AA251" s="130">
        <f>D251+Z251</f>
        <v>1231</v>
      </c>
      <c r="IQ251" s="95"/>
      <c r="IR251" s="95"/>
      <c r="IS251" s="95"/>
      <c r="IT251" s="95"/>
      <c r="IU251" s="95"/>
    </row>
    <row r="252" spans="2:255" s="93" customFormat="1" ht="16.5" customHeight="1">
      <c r="B252" s="43" t="s">
        <v>66</v>
      </c>
      <c r="C252" s="106" t="s">
        <v>30</v>
      </c>
      <c r="D252" s="82">
        <f>G252+J252+M252+P252</f>
        <v>0</v>
      </c>
      <c r="E252" s="82">
        <v>0</v>
      </c>
      <c r="F252" s="82">
        <v>0</v>
      </c>
      <c r="G252" s="82">
        <v>0</v>
      </c>
      <c r="H252" s="82">
        <v>206</v>
      </c>
      <c r="I252" s="82">
        <v>0</v>
      </c>
      <c r="J252" s="82">
        <v>0</v>
      </c>
      <c r="K252" s="82">
        <v>390</v>
      </c>
      <c r="L252" s="82">
        <v>0</v>
      </c>
      <c r="M252" s="82">
        <v>0</v>
      </c>
      <c r="N252" s="82">
        <v>-595</v>
      </c>
      <c r="O252" s="82">
        <v>0</v>
      </c>
      <c r="P252" s="82">
        <v>0</v>
      </c>
      <c r="Q252" s="82">
        <f>G252+J252+M252+P252</f>
        <v>0</v>
      </c>
      <c r="R252" s="212"/>
      <c r="S252" s="212"/>
      <c r="Z252" s="209">
        <v>0</v>
      </c>
      <c r="AA252" s="130">
        <f>D252+Z252</f>
        <v>0</v>
      </c>
      <c r="IQ252" s="95"/>
      <c r="IR252" s="95"/>
      <c r="IS252" s="95"/>
      <c r="IT252" s="95"/>
      <c r="IU252" s="95"/>
    </row>
    <row r="253" spans="2:255" s="93" customFormat="1" ht="15.75" customHeight="1">
      <c r="B253" s="38" t="s">
        <v>67</v>
      </c>
      <c r="C253" s="106" t="s">
        <v>27</v>
      </c>
      <c r="D253" s="82">
        <f>G253+J253+M253+P253</f>
        <v>234</v>
      </c>
      <c r="E253" s="82">
        <v>1</v>
      </c>
      <c r="F253" s="82">
        <f>F247</f>
        <v>0</v>
      </c>
      <c r="G253" s="82">
        <v>95</v>
      </c>
      <c r="H253" s="82">
        <v>38</v>
      </c>
      <c r="I253" s="82">
        <v>0</v>
      </c>
      <c r="J253" s="82">
        <v>0</v>
      </c>
      <c r="K253" s="82">
        <v>74</v>
      </c>
      <c r="L253" s="82">
        <v>0</v>
      </c>
      <c r="M253" s="82">
        <v>139</v>
      </c>
      <c r="N253" s="82">
        <f>N247</f>
        <v>0</v>
      </c>
      <c r="O253" s="82">
        <f>O247</f>
        <v>0</v>
      </c>
      <c r="P253" s="82">
        <f>P247</f>
        <v>0</v>
      </c>
      <c r="Q253" s="82">
        <f>G253+J253+M253+P253</f>
        <v>234</v>
      </c>
      <c r="R253" s="212"/>
      <c r="S253" s="212"/>
      <c r="Z253" s="209">
        <v>0</v>
      </c>
      <c r="AA253" s="130">
        <f>D253+Z253</f>
        <v>234</v>
      </c>
      <c r="IQ253" s="95"/>
      <c r="IR253" s="95"/>
      <c r="IS253" s="95"/>
      <c r="IT253" s="95"/>
      <c r="IU253" s="95"/>
    </row>
    <row r="254" spans="2:255" s="93" customFormat="1" ht="16.5" customHeight="1" hidden="1">
      <c r="B254" s="38"/>
      <c r="C254" s="43"/>
      <c r="D254" s="82"/>
      <c r="E254" s="82"/>
      <c r="F254" s="83"/>
      <c r="G254" s="82"/>
      <c r="H254" s="82"/>
      <c r="I254" s="83"/>
      <c r="J254" s="82"/>
      <c r="K254" s="82"/>
      <c r="L254" s="83"/>
      <c r="M254" s="82"/>
      <c r="N254" s="82"/>
      <c r="O254" s="83"/>
      <c r="P254" s="82"/>
      <c r="Q254" s="82"/>
      <c r="R254" s="212"/>
      <c r="S254" s="212"/>
      <c r="Z254" s="216"/>
      <c r="AA254" s="216"/>
      <c r="IQ254" s="95"/>
      <c r="IR254" s="95"/>
      <c r="IS254" s="95"/>
      <c r="IT254" s="95"/>
      <c r="IU254" s="95"/>
    </row>
    <row r="255" spans="2:255" s="93" customFormat="1" ht="16.5" customHeight="1" hidden="1">
      <c r="B255" s="39"/>
      <c r="C255" s="107"/>
      <c r="D255" s="101">
        <f>D256+D257+D258</f>
        <v>1465</v>
      </c>
      <c r="E255" s="101">
        <v>0</v>
      </c>
      <c r="F255" s="102">
        <f aca="true" t="shared" si="66" ref="F255:Q255">F256+F257+F258</f>
        <v>0</v>
      </c>
      <c r="G255" s="101">
        <f t="shared" si="66"/>
        <v>595</v>
      </c>
      <c r="H255" s="101">
        <f t="shared" si="66"/>
        <v>238</v>
      </c>
      <c r="I255" s="101">
        <f t="shared" si="66"/>
        <v>0</v>
      </c>
      <c r="J255" s="101">
        <f t="shared" si="66"/>
        <v>0</v>
      </c>
      <c r="K255" s="101">
        <f t="shared" si="66"/>
        <v>464</v>
      </c>
      <c r="L255" s="101">
        <f t="shared" si="66"/>
        <v>0</v>
      </c>
      <c r="M255" s="101">
        <f t="shared" si="66"/>
        <v>870</v>
      </c>
      <c r="N255" s="101">
        <f t="shared" si="66"/>
        <v>595</v>
      </c>
      <c r="O255" s="101">
        <f t="shared" si="66"/>
        <v>0</v>
      </c>
      <c r="P255" s="101">
        <f t="shared" si="66"/>
        <v>0</v>
      </c>
      <c r="Q255" s="41">
        <f t="shared" si="66"/>
        <v>1465</v>
      </c>
      <c r="R255" s="212"/>
      <c r="S255" s="212"/>
      <c r="Z255" s="216"/>
      <c r="AA255" s="216"/>
      <c r="IQ255" s="95"/>
      <c r="IR255" s="95"/>
      <c r="IS255" s="95"/>
      <c r="IT255" s="95"/>
      <c r="IU255" s="95"/>
    </row>
    <row r="256" spans="2:255" s="93" customFormat="1" ht="15" customHeight="1" hidden="1">
      <c r="B256" s="38" t="s">
        <v>68</v>
      </c>
      <c r="C256" s="105" t="s">
        <v>81</v>
      </c>
      <c r="D256" s="82">
        <f>G256+J256+M256+P256</f>
        <v>1231</v>
      </c>
      <c r="E256" s="82">
        <f>E251</f>
        <v>6</v>
      </c>
      <c r="F256" s="82">
        <f>F251</f>
        <v>0</v>
      </c>
      <c r="G256" s="82">
        <f>G251</f>
        <v>500</v>
      </c>
      <c r="H256" s="82">
        <f>H251</f>
        <v>-6</v>
      </c>
      <c r="I256" s="82">
        <v>0</v>
      </c>
      <c r="J256" s="82">
        <f aca="true" t="shared" si="67" ref="J256:P256">J251</f>
        <v>0</v>
      </c>
      <c r="K256" s="82">
        <f t="shared" si="67"/>
        <v>0</v>
      </c>
      <c r="L256" s="82">
        <f t="shared" si="67"/>
        <v>0</v>
      </c>
      <c r="M256" s="82">
        <f t="shared" si="67"/>
        <v>731</v>
      </c>
      <c r="N256" s="82">
        <f t="shared" si="67"/>
        <v>595</v>
      </c>
      <c r="O256" s="82">
        <f t="shared" si="67"/>
        <v>0</v>
      </c>
      <c r="P256" s="82">
        <f t="shared" si="67"/>
        <v>0</v>
      </c>
      <c r="Q256" s="82">
        <f>G256+J256+M256+P256</f>
        <v>1231</v>
      </c>
      <c r="R256" s="212"/>
      <c r="S256" s="212"/>
      <c r="Z256" s="216"/>
      <c r="AA256" s="216"/>
      <c r="IQ256" s="95"/>
      <c r="IR256" s="95"/>
      <c r="IS256" s="95"/>
      <c r="IT256" s="95"/>
      <c r="IU256" s="95"/>
    </row>
    <row r="257" spans="2:255" s="93" customFormat="1" ht="0.75" customHeight="1" hidden="1">
      <c r="B257" s="38" t="s">
        <v>69</v>
      </c>
      <c r="C257" s="105" t="s">
        <v>79</v>
      </c>
      <c r="D257" s="82">
        <f>G257+J257+M257+P257</f>
        <v>0</v>
      </c>
      <c r="E257" s="82">
        <v>0</v>
      </c>
      <c r="F257" s="82">
        <v>0</v>
      </c>
      <c r="G257" s="82">
        <v>0</v>
      </c>
      <c r="H257" s="82">
        <v>206</v>
      </c>
      <c r="I257" s="82">
        <v>0</v>
      </c>
      <c r="J257" s="82">
        <v>0</v>
      </c>
      <c r="K257" s="82">
        <v>390</v>
      </c>
      <c r="L257" s="82">
        <v>0</v>
      </c>
      <c r="M257" s="82">
        <v>0</v>
      </c>
      <c r="N257" s="82">
        <v>0</v>
      </c>
      <c r="O257" s="82">
        <v>0</v>
      </c>
      <c r="P257" s="82">
        <v>0</v>
      </c>
      <c r="Q257" s="82">
        <f>G257+J257+M257+P257</f>
        <v>0</v>
      </c>
      <c r="R257" s="212"/>
      <c r="S257" s="212"/>
      <c r="Z257" s="216"/>
      <c r="AA257" s="216"/>
      <c r="IQ257" s="95"/>
      <c r="IR257" s="95"/>
      <c r="IS257" s="95"/>
      <c r="IT257" s="95"/>
      <c r="IU257" s="95"/>
    </row>
    <row r="258" spans="2:255" s="93" customFormat="1" ht="16.5" customHeight="1" hidden="1">
      <c r="B258" s="38" t="s">
        <v>70</v>
      </c>
      <c r="C258" s="105" t="s">
        <v>82</v>
      </c>
      <c r="D258" s="82">
        <f>G258+J258+M258+P258</f>
        <v>234</v>
      </c>
      <c r="E258" s="82">
        <f>E253</f>
        <v>1</v>
      </c>
      <c r="F258" s="82">
        <f>F253</f>
        <v>0</v>
      </c>
      <c r="G258" s="82">
        <f>G253</f>
        <v>95</v>
      </c>
      <c r="H258" s="82">
        <v>38</v>
      </c>
      <c r="I258" s="82">
        <v>0</v>
      </c>
      <c r="J258" s="82">
        <f aca="true" t="shared" si="68" ref="J258:P258">J253</f>
        <v>0</v>
      </c>
      <c r="K258" s="82">
        <f t="shared" si="68"/>
        <v>74</v>
      </c>
      <c r="L258" s="82">
        <f t="shared" si="68"/>
        <v>0</v>
      </c>
      <c r="M258" s="82">
        <f t="shared" si="68"/>
        <v>139</v>
      </c>
      <c r="N258" s="82">
        <f t="shared" si="68"/>
        <v>0</v>
      </c>
      <c r="O258" s="82">
        <f t="shared" si="68"/>
        <v>0</v>
      </c>
      <c r="P258" s="82">
        <f t="shared" si="68"/>
        <v>0</v>
      </c>
      <c r="Q258" s="82">
        <f>G258+J258+M258+P258</f>
        <v>234</v>
      </c>
      <c r="R258" s="212"/>
      <c r="S258" s="212"/>
      <c r="Z258" s="216"/>
      <c r="AA258" s="216"/>
      <c r="IQ258" s="95"/>
      <c r="IR258" s="95"/>
      <c r="IS258" s="95"/>
      <c r="IT258" s="95"/>
      <c r="IU258" s="95"/>
    </row>
    <row r="259" spans="1:255" s="93" customFormat="1" ht="33" customHeight="1">
      <c r="A259" s="93">
        <v>26</v>
      </c>
      <c r="B259" s="104" t="s">
        <v>55</v>
      </c>
      <c r="C259" s="108" t="s">
        <v>87</v>
      </c>
      <c r="D259" s="41">
        <f aca="true" t="shared" si="69" ref="D259:Q259">D260+D262</f>
        <v>2042</v>
      </c>
      <c r="E259" s="41">
        <f t="shared" si="69"/>
        <v>6</v>
      </c>
      <c r="F259" s="42">
        <f t="shared" si="69"/>
        <v>0</v>
      </c>
      <c r="G259" s="41">
        <f t="shared" si="69"/>
        <v>203</v>
      </c>
      <c r="H259" s="41">
        <f t="shared" si="69"/>
        <v>218</v>
      </c>
      <c r="I259" s="42">
        <f t="shared" si="69"/>
        <v>0</v>
      </c>
      <c r="J259" s="41">
        <f t="shared" si="69"/>
        <v>155</v>
      </c>
      <c r="K259" s="41">
        <f t="shared" si="69"/>
        <v>426</v>
      </c>
      <c r="L259" s="42">
        <f t="shared" si="69"/>
        <v>0</v>
      </c>
      <c r="M259" s="41">
        <f t="shared" si="69"/>
        <v>18</v>
      </c>
      <c r="N259" s="41">
        <f t="shared" si="69"/>
        <v>0</v>
      </c>
      <c r="O259" s="42">
        <f t="shared" si="69"/>
        <v>0</v>
      </c>
      <c r="P259" s="41">
        <f t="shared" si="69"/>
        <v>1666</v>
      </c>
      <c r="Q259" s="41">
        <f t="shared" si="69"/>
        <v>2042</v>
      </c>
      <c r="R259" s="212"/>
      <c r="S259" s="212"/>
      <c r="Z259" s="233">
        <v>0</v>
      </c>
      <c r="AA259" s="226">
        <f>D259+Z259</f>
        <v>2042</v>
      </c>
      <c r="IQ259" s="95"/>
      <c r="IR259" s="95"/>
      <c r="IS259" s="95"/>
      <c r="IT259" s="95"/>
      <c r="IU259" s="95"/>
    </row>
    <row r="260" spans="2:255" s="93" customFormat="1" ht="16.5" customHeight="1">
      <c r="B260" s="43" t="s">
        <v>65</v>
      </c>
      <c r="C260" s="106" t="s">
        <v>23</v>
      </c>
      <c r="D260" s="82">
        <f>G260+J260+M260+P260</f>
        <v>1715</v>
      </c>
      <c r="E260" s="82">
        <v>5</v>
      </c>
      <c r="F260" s="83">
        <v>0</v>
      </c>
      <c r="G260" s="29">
        <v>170</v>
      </c>
      <c r="H260" s="82">
        <v>183</v>
      </c>
      <c r="I260" s="83">
        <v>0</v>
      </c>
      <c r="J260" s="29">
        <v>130</v>
      </c>
      <c r="K260" s="82">
        <v>358</v>
      </c>
      <c r="L260" s="83">
        <v>0</v>
      </c>
      <c r="M260" s="29">
        <v>15</v>
      </c>
      <c r="N260" s="82">
        <v>0</v>
      </c>
      <c r="O260" s="83">
        <v>0</v>
      </c>
      <c r="P260" s="29">
        <v>1400</v>
      </c>
      <c r="Q260" s="29">
        <f>G260+J260+M260+P260</f>
        <v>1715</v>
      </c>
      <c r="R260" s="212"/>
      <c r="S260" s="212"/>
      <c r="Z260" s="209">
        <v>0</v>
      </c>
      <c r="AA260" s="130">
        <f>D260+Z260</f>
        <v>1715</v>
      </c>
      <c r="IQ260" s="95"/>
      <c r="IR260" s="95"/>
      <c r="IS260" s="95"/>
      <c r="IT260" s="95"/>
      <c r="IU260" s="95"/>
    </row>
    <row r="261" spans="2:255" s="93" customFormat="1" ht="16.5" customHeight="1">
      <c r="B261" s="43" t="s">
        <v>66</v>
      </c>
      <c r="C261" s="106" t="s">
        <v>30</v>
      </c>
      <c r="D261" s="82"/>
      <c r="E261" s="82">
        <v>0</v>
      </c>
      <c r="F261" s="83">
        <v>0</v>
      </c>
      <c r="G261" s="29">
        <v>0</v>
      </c>
      <c r="H261" s="82">
        <v>0</v>
      </c>
      <c r="I261" s="83">
        <v>0</v>
      </c>
      <c r="J261" s="29">
        <v>0</v>
      </c>
      <c r="K261" s="82">
        <v>0</v>
      </c>
      <c r="L261" s="83">
        <v>0</v>
      </c>
      <c r="M261" s="29">
        <v>0</v>
      </c>
      <c r="N261" s="82">
        <v>0</v>
      </c>
      <c r="O261" s="83">
        <v>0</v>
      </c>
      <c r="P261" s="29"/>
      <c r="Q261" s="29"/>
      <c r="R261" s="212"/>
      <c r="S261" s="212"/>
      <c r="Z261" s="209">
        <v>0</v>
      </c>
      <c r="AA261" s="130">
        <f>D261+Z261</f>
        <v>0</v>
      </c>
      <c r="IQ261" s="95"/>
      <c r="IR261" s="95"/>
      <c r="IS261" s="95"/>
      <c r="IT261" s="95"/>
      <c r="IU261" s="95"/>
    </row>
    <row r="262" spans="2:255" s="93" customFormat="1" ht="16.5" customHeight="1">
      <c r="B262" s="38" t="s">
        <v>67</v>
      </c>
      <c r="C262" s="106" t="s">
        <v>27</v>
      </c>
      <c r="D262" s="82">
        <f>G262+J262+M262+P262</f>
        <v>327</v>
      </c>
      <c r="E262" s="82">
        <v>1</v>
      </c>
      <c r="F262" s="83">
        <v>0</v>
      </c>
      <c r="G262" s="29">
        <v>33</v>
      </c>
      <c r="H262" s="82">
        <v>35</v>
      </c>
      <c r="I262" s="83">
        <v>0</v>
      </c>
      <c r="J262" s="29">
        <v>25</v>
      </c>
      <c r="K262" s="82">
        <v>68</v>
      </c>
      <c r="L262" s="83">
        <v>0</v>
      </c>
      <c r="M262" s="29">
        <v>3</v>
      </c>
      <c r="N262" s="82">
        <v>0</v>
      </c>
      <c r="O262" s="83">
        <v>0</v>
      </c>
      <c r="P262" s="29">
        <v>266</v>
      </c>
      <c r="Q262" s="29">
        <f>G262+J262+M262+P262</f>
        <v>327</v>
      </c>
      <c r="R262" s="212"/>
      <c r="S262" s="212"/>
      <c r="Z262" s="209">
        <v>0</v>
      </c>
      <c r="AA262" s="130">
        <f>D262+Z262</f>
        <v>327</v>
      </c>
      <c r="IQ262" s="95"/>
      <c r="IR262" s="95"/>
      <c r="IS262" s="95"/>
      <c r="IT262" s="95"/>
      <c r="IU262" s="95"/>
    </row>
    <row r="263" spans="2:255" s="93" customFormat="1" ht="16.5" customHeight="1" hidden="1">
      <c r="B263" s="38"/>
      <c r="C263" s="43"/>
      <c r="D263" s="82"/>
      <c r="E263" s="82"/>
      <c r="F263" s="83"/>
      <c r="G263" s="29"/>
      <c r="H263" s="82"/>
      <c r="I263" s="83"/>
      <c r="J263" s="29"/>
      <c r="K263" s="82"/>
      <c r="L263" s="83"/>
      <c r="M263" s="29">
        <f>K263+L263</f>
        <v>0</v>
      </c>
      <c r="N263" s="82"/>
      <c r="O263" s="83"/>
      <c r="P263" s="29">
        <f>N263+O263</f>
        <v>0</v>
      </c>
      <c r="Q263" s="29"/>
      <c r="R263" s="212"/>
      <c r="S263" s="212"/>
      <c r="Z263" s="216"/>
      <c r="AA263" s="216"/>
      <c r="IQ263" s="95"/>
      <c r="IR263" s="95"/>
      <c r="IS263" s="95"/>
      <c r="IT263" s="95"/>
      <c r="IU263" s="95"/>
    </row>
    <row r="264" spans="2:255" s="93" customFormat="1" ht="16.5" customHeight="1" hidden="1">
      <c r="B264" s="39"/>
      <c r="C264" s="107"/>
      <c r="D264" s="101">
        <f>D265+D266+D267</f>
        <v>2042</v>
      </c>
      <c r="E264" s="101">
        <v>0</v>
      </c>
      <c r="F264" s="102">
        <f aca="true" t="shared" si="70" ref="F264:P264">F265+F266+F267</f>
        <v>0</v>
      </c>
      <c r="G264" s="101">
        <f t="shared" si="70"/>
        <v>203</v>
      </c>
      <c r="H264" s="101">
        <f t="shared" si="70"/>
        <v>218</v>
      </c>
      <c r="I264" s="101">
        <f t="shared" si="70"/>
        <v>0</v>
      </c>
      <c r="J264" s="101">
        <f t="shared" si="70"/>
        <v>155</v>
      </c>
      <c r="K264" s="101">
        <f t="shared" si="70"/>
        <v>426</v>
      </c>
      <c r="L264" s="101">
        <f t="shared" si="70"/>
        <v>0</v>
      </c>
      <c r="M264" s="101">
        <f t="shared" si="70"/>
        <v>18</v>
      </c>
      <c r="N264" s="101">
        <f t="shared" si="70"/>
        <v>0</v>
      </c>
      <c r="O264" s="101">
        <f t="shared" si="70"/>
        <v>0</v>
      </c>
      <c r="P264" s="101">
        <f t="shared" si="70"/>
        <v>1666</v>
      </c>
      <c r="Q264" s="101">
        <f>Q265+Q267</f>
        <v>2042</v>
      </c>
      <c r="R264" s="212"/>
      <c r="S264" s="212"/>
      <c r="Z264" s="216"/>
      <c r="AA264" s="216"/>
      <c r="IQ264" s="95"/>
      <c r="IR264" s="95"/>
      <c r="IS264" s="95"/>
      <c r="IT264" s="95"/>
      <c r="IU264" s="95"/>
    </row>
    <row r="265" spans="2:255" s="93" customFormat="1" ht="16.5" customHeight="1" hidden="1">
      <c r="B265" s="38" t="s">
        <v>68</v>
      </c>
      <c r="C265" s="105" t="s">
        <v>81</v>
      </c>
      <c r="D265" s="82">
        <f>G265+J265+M265+P265</f>
        <v>1715</v>
      </c>
      <c r="E265" s="82">
        <f aca="true" t="shared" si="71" ref="E265:Q265">E260</f>
        <v>5</v>
      </c>
      <c r="F265" s="82">
        <f t="shared" si="71"/>
        <v>0</v>
      </c>
      <c r="G265" s="82">
        <f t="shared" si="71"/>
        <v>170</v>
      </c>
      <c r="H265" s="82">
        <f t="shared" si="71"/>
        <v>183</v>
      </c>
      <c r="I265" s="82">
        <f t="shared" si="71"/>
        <v>0</v>
      </c>
      <c r="J265" s="82">
        <f t="shared" si="71"/>
        <v>130</v>
      </c>
      <c r="K265" s="82">
        <f t="shared" si="71"/>
        <v>358</v>
      </c>
      <c r="L265" s="82">
        <f t="shared" si="71"/>
        <v>0</v>
      </c>
      <c r="M265" s="82">
        <f t="shared" si="71"/>
        <v>15</v>
      </c>
      <c r="N265" s="82">
        <f t="shared" si="71"/>
        <v>0</v>
      </c>
      <c r="O265" s="82">
        <f t="shared" si="71"/>
        <v>0</v>
      </c>
      <c r="P265" s="82">
        <f t="shared" si="71"/>
        <v>1400</v>
      </c>
      <c r="Q265" s="82">
        <f t="shared" si="71"/>
        <v>1715</v>
      </c>
      <c r="R265" s="212"/>
      <c r="S265" s="212"/>
      <c r="Z265" s="216"/>
      <c r="AA265" s="216"/>
      <c r="IQ265" s="95"/>
      <c r="IR265" s="95"/>
      <c r="IS265" s="95"/>
      <c r="IT265" s="95"/>
      <c r="IU265" s="95"/>
    </row>
    <row r="266" spans="2:255" s="93" customFormat="1" ht="16.5" customHeight="1" hidden="1">
      <c r="B266" s="38" t="s">
        <v>69</v>
      </c>
      <c r="C266" s="105" t="s">
        <v>79</v>
      </c>
      <c r="D266" s="82"/>
      <c r="E266" s="82"/>
      <c r="F266" s="82"/>
      <c r="G266" s="82"/>
      <c r="H266" s="82"/>
      <c r="I266" s="82"/>
      <c r="J266" s="82"/>
      <c r="K266" s="82"/>
      <c r="L266" s="82"/>
      <c r="M266" s="82"/>
      <c r="N266" s="82"/>
      <c r="O266" s="82"/>
      <c r="P266" s="82"/>
      <c r="Q266" s="82"/>
      <c r="R266" s="212"/>
      <c r="S266" s="212"/>
      <c r="Z266" s="216"/>
      <c r="AA266" s="216"/>
      <c r="IQ266" s="95"/>
      <c r="IR266" s="95"/>
      <c r="IS266" s="95"/>
      <c r="IT266" s="95"/>
      <c r="IU266" s="95"/>
    </row>
    <row r="267" spans="2:255" s="93" customFormat="1" ht="16.5" customHeight="1" hidden="1">
      <c r="B267" s="38" t="s">
        <v>70</v>
      </c>
      <c r="C267" s="105" t="s">
        <v>82</v>
      </c>
      <c r="D267" s="82">
        <f>G267+J267+M267+P267</f>
        <v>327</v>
      </c>
      <c r="E267" s="82">
        <f aca="true" t="shared" si="72" ref="E267:Q267">E262</f>
        <v>1</v>
      </c>
      <c r="F267" s="82">
        <f t="shared" si="72"/>
        <v>0</v>
      </c>
      <c r="G267" s="82">
        <f t="shared" si="72"/>
        <v>33</v>
      </c>
      <c r="H267" s="82">
        <f t="shared" si="72"/>
        <v>35</v>
      </c>
      <c r="I267" s="82">
        <f t="shared" si="72"/>
        <v>0</v>
      </c>
      <c r="J267" s="82">
        <f t="shared" si="72"/>
        <v>25</v>
      </c>
      <c r="K267" s="82">
        <f t="shared" si="72"/>
        <v>68</v>
      </c>
      <c r="L267" s="82">
        <f t="shared" si="72"/>
        <v>0</v>
      </c>
      <c r="M267" s="82">
        <f t="shared" si="72"/>
        <v>3</v>
      </c>
      <c r="N267" s="82">
        <f t="shared" si="72"/>
        <v>0</v>
      </c>
      <c r="O267" s="82">
        <f t="shared" si="72"/>
        <v>0</v>
      </c>
      <c r="P267" s="82">
        <f t="shared" si="72"/>
        <v>266</v>
      </c>
      <c r="Q267" s="82">
        <f t="shared" si="72"/>
        <v>327</v>
      </c>
      <c r="R267" s="212"/>
      <c r="S267" s="212"/>
      <c r="Z267" s="216"/>
      <c r="AA267" s="216"/>
      <c r="IQ267" s="95"/>
      <c r="IR267" s="95"/>
      <c r="IS267" s="95"/>
      <c r="IT267" s="95"/>
      <c r="IU267" s="95"/>
    </row>
    <row r="268" spans="1:255" s="93" customFormat="1" ht="34.5" customHeight="1">
      <c r="A268" s="93">
        <v>27</v>
      </c>
      <c r="B268" s="104" t="s">
        <v>55</v>
      </c>
      <c r="C268" s="108" t="s">
        <v>88</v>
      </c>
      <c r="D268" s="41">
        <f aca="true" t="shared" si="73" ref="D268:Q268">D269+D271</f>
        <v>2952</v>
      </c>
      <c r="E268" s="41">
        <f t="shared" si="73"/>
        <v>6</v>
      </c>
      <c r="F268" s="42">
        <f t="shared" si="73"/>
        <v>0</v>
      </c>
      <c r="G268" s="41">
        <f t="shared" si="73"/>
        <v>191</v>
      </c>
      <c r="H268" s="41">
        <f t="shared" si="73"/>
        <v>294</v>
      </c>
      <c r="I268" s="42">
        <f t="shared" si="73"/>
        <v>0</v>
      </c>
      <c r="J268" s="41">
        <f t="shared" si="73"/>
        <v>595</v>
      </c>
      <c r="K268" s="41">
        <f t="shared" si="73"/>
        <v>574</v>
      </c>
      <c r="L268" s="42">
        <f t="shared" si="73"/>
        <v>0</v>
      </c>
      <c r="M268" s="41">
        <f t="shared" si="73"/>
        <v>24</v>
      </c>
      <c r="N268" s="41">
        <f t="shared" si="73"/>
        <v>0</v>
      </c>
      <c r="O268" s="42">
        <f t="shared" si="73"/>
        <v>0</v>
      </c>
      <c r="P268" s="41">
        <f t="shared" si="73"/>
        <v>2142</v>
      </c>
      <c r="Q268" s="41">
        <f t="shared" si="73"/>
        <v>2952</v>
      </c>
      <c r="R268" s="212"/>
      <c r="S268" s="212"/>
      <c r="Z268" s="233">
        <v>0</v>
      </c>
      <c r="AA268" s="226">
        <f>D268+Z268</f>
        <v>2952</v>
      </c>
      <c r="IQ268" s="95"/>
      <c r="IR268" s="95"/>
      <c r="IS268" s="95"/>
      <c r="IT268" s="95"/>
      <c r="IU268" s="95"/>
    </row>
    <row r="269" spans="2:255" s="93" customFormat="1" ht="16.5" customHeight="1">
      <c r="B269" s="43" t="s">
        <v>65</v>
      </c>
      <c r="C269" s="106" t="s">
        <v>23</v>
      </c>
      <c r="D269" s="82">
        <f>G269+J269+M269+P269</f>
        <v>2480</v>
      </c>
      <c r="E269" s="82">
        <v>5</v>
      </c>
      <c r="F269" s="83"/>
      <c r="G269" s="29">
        <v>160</v>
      </c>
      <c r="H269" s="82">
        <v>247</v>
      </c>
      <c r="I269" s="83"/>
      <c r="J269" s="29">
        <v>500</v>
      </c>
      <c r="K269" s="82">
        <v>482</v>
      </c>
      <c r="L269" s="83"/>
      <c r="M269" s="29">
        <v>20</v>
      </c>
      <c r="N269" s="82"/>
      <c r="O269" s="83"/>
      <c r="P269" s="29">
        <v>1800</v>
      </c>
      <c r="Q269" s="29">
        <f>G269+J269+M269+P269</f>
        <v>2480</v>
      </c>
      <c r="R269" s="212"/>
      <c r="S269" s="212"/>
      <c r="Z269" s="209">
        <v>0</v>
      </c>
      <c r="AA269" s="130">
        <f>D269+Z269</f>
        <v>2480</v>
      </c>
      <c r="IQ269" s="95"/>
      <c r="IR269" s="95"/>
      <c r="IS269" s="95"/>
      <c r="IT269" s="95"/>
      <c r="IU269" s="95"/>
    </row>
    <row r="270" spans="2:255" s="93" customFormat="1" ht="16.5" customHeight="1">
      <c r="B270" s="43" t="s">
        <v>66</v>
      </c>
      <c r="C270" s="106" t="s">
        <v>30</v>
      </c>
      <c r="D270" s="82"/>
      <c r="E270" s="82"/>
      <c r="F270" s="83"/>
      <c r="G270" s="29"/>
      <c r="H270" s="82"/>
      <c r="I270" s="83"/>
      <c r="J270" s="29"/>
      <c r="K270" s="82"/>
      <c r="L270" s="83"/>
      <c r="M270" s="29"/>
      <c r="N270" s="82"/>
      <c r="O270" s="83"/>
      <c r="P270" s="29"/>
      <c r="Q270" s="29"/>
      <c r="R270" s="212"/>
      <c r="S270" s="212"/>
      <c r="Z270" s="209">
        <v>0</v>
      </c>
      <c r="AA270" s="130">
        <f>D270+Z270</f>
        <v>0</v>
      </c>
      <c r="IQ270" s="95"/>
      <c r="IR270" s="95"/>
      <c r="IS270" s="95"/>
      <c r="IT270" s="95"/>
      <c r="IU270" s="95"/>
    </row>
    <row r="271" spans="2:255" s="93" customFormat="1" ht="16.5" customHeight="1">
      <c r="B271" s="38" t="s">
        <v>67</v>
      </c>
      <c r="C271" s="106" t="s">
        <v>27</v>
      </c>
      <c r="D271" s="82">
        <f>G271+J271+M271+P271</f>
        <v>472</v>
      </c>
      <c r="E271" s="82">
        <v>1</v>
      </c>
      <c r="F271" s="83"/>
      <c r="G271" s="29">
        <v>31</v>
      </c>
      <c r="H271" s="82">
        <v>47</v>
      </c>
      <c r="I271" s="83"/>
      <c r="J271" s="29">
        <v>95</v>
      </c>
      <c r="K271" s="82">
        <v>92</v>
      </c>
      <c r="L271" s="83"/>
      <c r="M271" s="29">
        <v>4</v>
      </c>
      <c r="N271" s="82"/>
      <c r="O271" s="83"/>
      <c r="P271" s="29">
        <v>342</v>
      </c>
      <c r="Q271" s="29">
        <f>G271+J271+M271+P271</f>
        <v>472</v>
      </c>
      <c r="R271" s="212"/>
      <c r="S271" s="212"/>
      <c r="Z271" s="209">
        <v>0</v>
      </c>
      <c r="AA271" s="130">
        <f>D271+Z271</f>
        <v>472</v>
      </c>
      <c r="IQ271" s="95"/>
      <c r="IR271" s="95"/>
      <c r="IS271" s="95"/>
      <c r="IT271" s="95"/>
      <c r="IU271" s="95"/>
    </row>
    <row r="272" spans="2:255" s="93" customFormat="1" ht="16.5" customHeight="1" hidden="1">
      <c r="B272" s="38"/>
      <c r="C272" s="43"/>
      <c r="D272" s="82"/>
      <c r="E272" s="82"/>
      <c r="F272" s="83"/>
      <c r="G272" s="29"/>
      <c r="H272" s="82"/>
      <c r="I272" s="83"/>
      <c r="J272" s="29"/>
      <c r="K272" s="82"/>
      <c r="L272" s="83"/>
      <c r="M272" s="29">
        <f>K272+L272</f>
        <v>0</v>
      </c>
      <c r="N272" s="82"/>
      <c r="O272" s="83"/>
      <c r="P272" s="29">
        <f>N272+O272</f>
        <v>0</v>
      </c>
      <c r="Q272" s="29"/>
      <c r="R272" s="212"/>
      <c r="S272" s="212"/>
      <c r="Z272" s="216"/>
      <c r="AA272" s="216"/>
      <c r="IQ272" s="95"/>
      <c r="IR272" s="95"/>
      <c r="IS272" s="95"/>
      <c r="IT272" s="95"/>
      <c r="IU272" s="95"/>
    </row>
    <row r="273" spans="2:255" s="93" customFormat="1" ht="16.5" customHeight="1" hidden="1">
      <c r="B273" s="39"/>
      <c r="C273" s="107"/>
      <c r="D273" s="101">
        <f>D274+D275+D276</f>
        <v>2952</v>
      </c>
      <c r="E273" s="101">
        <v>0</v>
      </c>
      <c r="F273" s="102">
        <f aca="true" t="shared" si="74" ref="F273:P273">F274+F275+F276</f>
        <v>0</v>
      </c>
      <c r="G273" s="101">
        <f t="shared" si="74"/>
        <v>191</v>
      </c>
      <c r="H273" s="101">
        <f t="shared" si="74"/>
        <v>294</v>
      </c>
      <c r="I273" s="101">
        <f t="shared" si="74"/>
        <v>0</v>
      </c>
      <c r="J273" s="101">
        <f t="shared" si="74"/>
        <v>595</v>
      </c>
      <c r="K273" s="101">
        <f t="shared" si="74"/>
        <v>574</v>
      </c>
      <c r="L273" s="101">
        <f t="shared" si="74"/>
        <v>0</v>
      </c>
      <c r="M273" s="101">
        <f t="shared" si="74"/>
        <v>24</v>
      </c>
      <c r="N273" s="101">
        <f t="shared" si="74"/>
        <v>0</v>
      </c>
      <c r="O273" s="101">
        <f t="shared" si="74"/>
        <v>0</v>
      </c>
      <c r="P273" s="101">
        <f t="shared" si="74"/>
        <v>2142</v>
      </c>
      <c r="Q273" s="101">
        <f>Q274+Q276</f>
        <v>2952</v>
      </c>
      <c r="R273" s="212"/>
      <c r="S273" s="212"/>
      <c r="Z273" s="216"/>
      <c r="AA273" s="216"/>
      <c r="IQ273" s="95"/>
      <c r="IR273" s="95"/>
      <c r="IS273" s="95"/>
      <c r="IT273" s="95"/>
      <c r="IU273" s="95"/>
    </row>
    <row r="274" spans="2:255" s="93" customFormat="1" ht="16.5" customHeight="1" hidden="1">
      <c r="B274" s="38" t="s">
        <v>68</v>
      </c>
      <c r="C274" s="105" t="s">
        <v>81</v>
      </c>
      <c r="D274" s="82">
        <f>G274+J274+M274+P274</f>
        <v>2480</v>
      </c>
      <c r="E274" s="82">
        <f aca="true" t="shared" si="75" ref="E274:Q274">E269</f>
        <v>5</v>
      </c>
      <c r="F274" s="82">
        <f t="shared" si="75"/>
        <v>0</v>
      </c>
      <c r="G274" s="82">
        <f t="shared" si="75"/>
        <v>160</v>
      </c>
      <c r="H274" s="82">
        <f t="shared" si="75"/>
        <v>247</v>
      </c>
      <c r="I274" s="82">
        <f t="shared" si="75"/>
        <v>0</v>
      </c>
      <c r="J274" s="82">
        <f t="shared" si="75"/>
        <v>500</v>
      </c>
      <c r="K274" s="82">
        <f t="shared" si="75"/>
        <v>482</v>
      </c>
      <c r="L274" s="82">
        <f t="shared" si="75"/>
        <v>0</v>
      </c>
      <c r="M274" s="82">
        <f t="shared" si="75"/>
        <v>20</v>
      </c>
      <c r="N274" s="82">
        <f t="shared" si="75"/>
        <v>0</v>
      </c>
      <c r="O274" s="82">
        <f t="shared" si="75"/>
        <v>0</v>
      </c>
      <c r="P274" s="82">
        <f t="shared" si="75"/>
        <v>1800</v>
      </c>
      <c r="Q274" s="82">
        <f t="shared" si="75"/>
        <v>2480</v>
      </c>
      <c r="R274" s="212"/>
      <c r="S274" s="212"/>
      <c r="Z274" s="216"/>
      <c r="AA274" s="216"/>
      <c r="IQ274" s="95"/>
      <c r="IR274" s="95"/>
      <c r="IS274" s="95"/>
      <c r="IT274" s="95"/>
      <c r="IU274" s="95"/>
    </row>
    <row r="275" spans="2:255" s="93" customFormat="1" ht="16.5" customHeight="1" hidden="1">
      <c r="B275" s="38" t="s">
        <v>69</v>
      </c>
      <c r="C275" s="105" t="s">
        <v>79</v>
      </c>
      <c r="D275" s="82"/>
      <c r="E275" s="82"/>
      <c r="F275" s="82"/>
      <c r="G275" s="82"/>
      <c r="H275" s="82"/>
      <c r="I275" s="82"/>
      <c r="J275" s="82"/>
      <c r="K275" s="82"/>
      <c r="L275" s="82"/>
      <c r="M275" s="82"/>
      <c r="N275" s="82"/>
      <c r="O275" s="82"/>
      <c r="P275" s="82"/>
      <c r="Q275" s="82"/>
      <c r="R275" s="212"/>
      <c r="S275" s="212"/>
      <c r="Z275" s="216"/>
      <c r="AA275" s="216"/>
      <c r="IQ275" s="95"/>
      <c r="IR275" s="95"/>
      <c r="IS275" s="95"/>
      <c r="IT275" s="95"/>
      <c r="IU275" s="95"/>
    </row>
    <row r="276" spans="2:255" s="93" customFormat="1" ht="16.5" customHeight="1" hidden="1">
      <c r="B276" s="38" t="s">
        <v>70</v>
      </c>
      <c r="C276" s="105" t="s">
        <v>82</v>
      </c>
      <c r="D276" s="82">
        <f>G276+J276+M276+P276</f>
        <v>472</v>
      </c>
      <c r="E276" s="82">
        <f aca="true" t="shared" si="76" ref="E276:Q276">E271</f>
        <v>1</v>
      </c>
      <c r="F276" s="82">
        <f t="shared" si="76"/>
        <v>0</v>
      </c>
      <c r="G276" s="82">
        <f t="shared" si="76"/>
        <v>31</v>
      </c>
      <c r="H276" s="82">
        <f t="shared" si="76"/>
        <v>47</v>
      </c>
      <c r="I276" s="82">
        <f t="shared" si="76"/>
        <v>0</v>
      </c>
      <c r="J276" s="82">
        <f t="shared" si="76"/>
        <v>95</v>
      </c>
      <c r="K276" s="82">
        <f t="shared" si="76"/>
        <v>92</v>
      </c>
      <c r="L276" s="82">
        <f t="shared" si="76"/>
        <v>0</v>
      </c>
      <c r="M276" s="82">
        <f t="shared" si="76"/>
        <v>4</v>
      </c>
      <c r="N276" s="82">
        <f t="shared" si="76"/>
        <v>0</v>
      </c>
      <c r="O276" s="82">
        <f t="shared" si="76"/>
        <v>0</v>
      </c>
      <c r="P276" s="82">
        <f t="shared" si="76"/>
        <v>342</v>
      </c>
      <c r="Q276" s="82">
        <f t="shared" si="76"/>
        <v>472</v>
      </c>
      <c r="R276" s="212"/>
      <c r="S276" s="212"/>
      <c r="Z276" s="216"/>
      <c r="AA276" s="216"/>
      <c r="IQ276" s="95"/>
      <c r="IR276" s="95"/>
      <c r="IS276" s="95"/>
      <c r="IT276" s="95"/>
      <c r="IU276" s="95"/>
    </row>
    <row r="277" spans="1:255" s="93" customFormat="1" ht="46.5" customHeight="1">
      <c r="A277" s="93">
        <v>28</v>
      </c>
      <c r="B277" s="104" t="s">
        <v>55</v>
      </c>
      <c r="C277" s="108" t="s">
        <v>89</v>
      </c>
      <c r="D277" s="41">
        <f>D278+D280+D279</f>
        <v>4090</v>
      </c>
      <c r="E277" s="41">
        <f>E278+E280+E279</f>
        <v>8</v>
      </c>
      <c r="F277" s="42">
        <f>F278+F280</f>
        <v>0</v>
      </c>
      <c r="G277" s="41">
        <f>G278+G280+G279</f>
        <v>1500</v>
      </c>
      <c r="H277" s="41">
        <f>H278+H280+H279</f>
        <v>248</v>
      </c>
      <c r="I277" s="42">
        <f>I278+I279</f>
        <v>0</v>
      </c>
      <c r="J277" s="41">
        <f>J278+J280+J279</f>
        <v>2000</v>
      </c>
      <c r="K277" s="41">
        <f>K278+K279+K280</f>
        <v>156</v>
      </c>
      <c r="L277" s="42">
        <f>L278+L280+L279</f>
        <v>0</v>
      </c>
      <c r="M277" s="41">
        <f>M278+M280+M279</f>
        <v>590</v>
      </c>
      <c r="N277" s="41">
        <f>N278+N280+N279</f>
        <v>0</v>
      </c>
      <c r="O277" s="42">
        <f>O278+O279+O280</f>
        <v>0</v>
      </c>
      <c r="P277" s="42">
        <f>P278+P279+P280</f>
        <v>0</v>
      </c>
      <c r="Q277" s="41">
        <f>Q278+Q280+Q279</f>
        <v>4090</v>
      </c>
      <c r="R277" s="212"/>
      <c r="S277" s="212"/>
      <c r="Z277" s="233">
        <v>0</v>
      </c>
      <c r="AA277" s="226">
        <f>D277+Z277</f>
        <v>4090</v>
      </c>
      <c r="IQ277" s="95"/>
      <c r="IR277" s="95"/>
      <c r="IS277" s="95"/>
      <c r="IT277" s="95"/>
      <c r="IU277" s="95"/>
    </row>
    <row r="278" spans="2:255" s="93" customFormat="1" ht="16.5" customHeight="1">
      <c r="B278" s="43" t="s">
        <v>65</v>
      </c>
      <c r="C278" s="106" t="s">
        <v>23</v>
      </c>
      <c r="D278" s="82">
        <f>Q278</f>
        <v>3340</v>
      </c>
      <c r="E278" s="82">
        <v>6</v>
      </c>
      <c r="F278" s="83"/>
      <c r="G278" s="29">
        <v>1250</v>
      </c>
      <c r="H278" s="82">
        <v>-6</v>
      </c>
      <c r="I278" s="83">
        <v>0</v>
      </c>
      <c r="J278" s="29">
        <v>1600</v>
      </c>
      <c r="K278" s="82">
        <v>0</v>
      </c>
      <c r="L278" s="83">
        <v>0</v>
      </c>
      <c r="M278" s="29">
        <v>490</v>
      </c>
      <c r="N278" s="82">
        <v>345</v>
      </c>
      <c r="O278" s="83">
        <v>0</v>
      </c>
      <c r="P278" s="29">
        <v>0</v>
      </c>
      <c r="Q278" s="29">
        <f>G278+J278+M278+P278</f>
        <v>3340</v>
      </c>
      <c r="R278" s="212"/>
      <c r="S278" s="212"/>
      <c r="Z278" s="209">
        <v>0</v>
      </c>
      <c r="AA278" s="130">
        <f>D278+Z278</f>
        <v>3340</v>
      </c>
      <c r="IQ278" s="95"/>
      <c r="IR278" s="95"/>
      <c r="IS278" s="95"/>
      <c r="IT278" s="95"/>
      <c r="IU278" s="95"/>
    </row>
    <row r="279" spans="2:255" s="93" customFormat="1" ht="16.5" customHeight="1">
      <c r="B279" s="43" t="s">
        <v>66</v>
      </c>
      <c r="C279" s="106" t="s">
        <v>30</v>
      </c>
      <c r="D279" s="82">
        <f>Q279</f>
        <v>0</v>
      </c>
      <c r="E279" s="82">
        <v>0</v>
      </c>
      <c r="F279" s="83">
        <v>0</v>
      </c>
      <c r="G279" s="29">
        <v>0</v>
      </c>
      <c r="H279" s="82">
        <v>215</v>
      </c>
      <c r="I279" s="83">
        <v>0</v>
      </c>
      <c r="J279" s="29">
        <v>0</v>
      </c>
      <c r="K279" s="82">
        <v>131</v>
      </c>
      <c r="L279" s="83">
        <v>0</v>
      </c>
      <c r="M279" s="29">
        <v>0</v>
      </c>
      <c r="N279" s="82">
        <v>-345</v>
      </c>
      <c r="O279" s="83">
        <v>0</v>
      </c>
      <c r="P279" s="29">
        <v>0</v>
      </c>
      <c r="Q279" s="29">
        <f>G279+J279+M279+P279</f>
        <v>0</v>
      </c>
      <c r="R279" s="212"/>
      <c r="S279" s="212"/>
      <c r="Z279" s="209">
        <v>0</v>
      </c>
      <c r="AA279" s="130">
        <f>D279+Z279</f>
        <v>0</v>
      </c>
      <c r="IQ279" s="95"/>
      <c r="IR279" s="95"/>
      <c r="IS279" s="95"/>
      <c r="IT279" s="95"/>
      <c r="IU279" s="95"/>
    </row>
    <row r="280" spans="2:255" s="93" customFormat="1" ht="16.5" customHeight="1">
      <c r="B280" s="38" t="s">
        <v>67</v>
      </c>
      <c r="C280" s="106" t="s">
        <v>27</v>
      </c>
      <c r="D280" s="82">
        <f>Q280</f>
        <v>750</v>
      </c>
      <c r="E280" s="82">
        <v>2</v>
      </c>
      <c r="F280" s="83"/>
      <c r="G280" s="29">
        <v>250</v>
      </c>
      <c r="H280" s="82">
        <v>39</v>
      </c>
      <c r="I280" s="83"/>
      <c r="J280" s="29">
        <v>400</v>
      </c>
      <c r="K280" s="82">
        <v>25</v>
      </c>
      <c r="L280" s="83"/>
      <c r="M280" s="29">
        <v>100</v>
      </c>
      <c r="N280" s="82"/>
      <c r="O280" s="83"/>
      <c r="P280" s="29">
        <f>N280+O280</f>
        <v>0</v>
      </c>
      <c r="Q280" s="29">
        <f>G280+J280+M280+P280</f>
        <v>750</v>
      </c>
      <c r="R280" s="212"/>
      <c r="S280" s="212"/>
      <c r="Z280" s="209">
        <v>0</v>
      </c>
      <c r="AA280" s="130">
        <f>D280+Z280</f>
        <v>750</v>
      </c>
      <c r="IQ280" s="95"/>
      <c r="IR280" s="95"/>
      <c r="IS280" s="95"/>
      <c r="IT280" s="95"/>
      <c r="IU280" s="95"/>
    </row>
    <row r="281" spans="2:255" s="93" customFormat="1" ht="16.5" customHeight="1" hidden="1">
      <c r="B281" s="38"/>
      <c r="C281" s="43"/>
      <c r="D281" s="82"/>
      <c r="E281" s="82"/>
      <c r="F281" s="83"/>
      <c r="G281" s="29"/>
      <c r="H281" s="82"/>
      <c r="I281" s="83"/>
      <c r="J281" s="29"/>
      <c r="K281" s="82"/>
      <c r="L281" s="83"/>
      <c r="M281" s="29">
        <f>K281+L281</f>
        <v>0</v>
      </c>
      <c r="N281" s="82"/>
      <c r="O281" s="83"/>
      <c r="P281" s="29">
        <f>N281+O281</f>
        <v>0</v>
      </c>
      <c r="Q281" s="29"/>
      <c r="R281" s="212"/>
      <c r="S281" s="212"/>
      <c r="Z281" s="216"/>
      <c r="AA281" s="216"/>
      <c r="IQ281" s="95"/>
      <c r="IR281" s="95"/>
      <c r="IS281" s="95"/>
      <c r="IT281" s="95"/>
      <c r="IU281" s="95"/>
    </row>
    <row r="282" spans="2:255" s="93" customFormat="1" ht="16.5" customHeight="1" hidden="1">
      <c r="B282" s="39"/>
      <c r="C282" s="107"/>
      <c r="D282" s="101">
        <f>D283+D284+D285</f>
        <v>4090</v>
      </c>
      <c r="E282" s="101">
        <v>0</v>
      </c>
      <c r="F282" s="102">
        <f aca="true" t="shared" si="77" ref="F282:P282">F283+F284+F285</f>
        <v>0</v>
      </c>
      <c r="G282" s="101">
        <f t="shared" si="77"/>
        <v>1500</v>
      </c>
      <c r="H282" s="101">
        <f t="shared" si="77"/>
        <v>248</v>
      </c>
      <c r="I282" s="101">
        <f t="shared" si="77"/>
        <v>0</v>
      </c>
      <c r="J282" s="101">
        <f t="shared" si="77"/>
        <v>2000</v>
      </c>
      <c r="K282" s="101">
        <f t="shared" si="77"/>
        <v>156</v>
      </c>
      <c r="L282" s="101">
        <f t="shared" si="77"/>
        <v>0</v>
      </c>
      <c r="M282" s="101">
        <f t="shared" si="77"/>
        <v>590</v>
      </c>
      <c r="N282" s="101">
        <f t="shared" si="77"/>
        <v>345</v>
      </c>
      <c r="O282" s="101">
        <f t="shared" si="77"/>
        <v>0</v>
      </c>
      <c r="P282" s="101">
        <f t="shared" si="77"/>
        <v>0</v>
      </c>
      <c r="Q282" s="101">
        <f>Q283+Q285+Q284</f>
        <v>4090</v>
      </c>
      <c r="R282" s="212"/>
      <c r="S282" s="212"/>
      <c r="Z282" s="216"/>
      <c r="AA282" s="216"/>
      <c r="IQ282" s="95"/>
      <c r="IR282" s="95"/>
      <c r="IS282" s="95"/>
      <c r="IT282" s="95"/>
      <c r="IU282" s="95"/>
    </row>
    <row r="283" spans="2:255" s="93" customFormat="1" ht="16.5" customHeight="1" hidden="1">
      <c r="B283" s="38" t="s">
        <v>68</v>
      </c>
      <c r="C283" s="105" t="s">
        <v>81</v>
      </c>
      <c r="D283" s="82">
        <v>3340</v>
      </c>
      <c r="E283" s="82">
        <f>E278</f>
        <v>6</v>
      </c>
      <c r="F283" s="82">
        <f>F278</f>
        <v>0</v>
      </c>
      <c r="G283" s="82">
        <v>1250</v>
      </c>
      <c r="H283" s="82">
        <f>H278</f>
        <v>-6</v>
      </c>
      <c r="I283" s="82">
        <f>I278</f>
        <v>0</v>
      </c>
      <c r="J283" s="82">
        <v>1600</v>
      </c>
      <c r="K283" s="82">
        <f>K278</f>
        <v>0</v>
      </c>
      <c r="L283" s="82">
        <f>L278</f>
        <v>0</v>
      </c>
      <c r="M283" s="82">
        <f>M278</f>
        <v>490</v>
      </c>
      <c r="N283" s="82">
        <f>N278</f>
        <v>345</v>
      </c>
      <c r="O283" s="82">
        <f>O278</f>
        <v>0</v>
      </c>
      <c r="P283" s="82">
        <v>0</v>
      </c>
      <c r="Q283" s="82">
        <f>G283+J283+M283</f>
        <v>3340</v>
      </c>
      <c r="R283" s="212"/>
      <c r="S283" s="212"/>
      <c r="Z283" s="216"/>
      <c r="AA283" s="216"/>
      <c r="IQ283" s="95"/>
      <c r="IR283" s="95"/>
      <c r="IS283" s="95"/>
      <c r="IT283" s="95"/>
      <c r="IU283" s="95"/>
    </row>
    <row r="284" spans="2:255" s="93" customFormat="1" ht="16.5" customHeight="1" hidden="1">
      <c r="B284" s="38" t="s">
        <v>69</v>
      </c>
      <c r="C284" s="105" t="s">
        <v>79</v>
      </c>
      <c r="D284" s="82">
        <v>0</v>
      </c>
      <c r="E284" s="82"/>
      <c r="F284" s="82"/>
      <c r="G284" s="82"/>
      <c r="H284" s="82">
        <v>215</v>
      </c>
      <c r="I284" s="82">
        <v>0</v>
      </c>
      <c r="J284" s="82">
        <v>0</v>
      </c>
      <c r="K284" s="82">
        <v>131</v>
      </c>
      <c r="L284" s="82">
        <v>0</v>
      </c>
      <c r="M284" s="82">
        <v>0</v>
      </c>
      <c r="N284" s="82"/>
      <c r="O284" s="82"/>
      <c r="P284" s="82"/>
      <c r="Q284" s="82">
        <f>J284+M284</f>
        <v>0</v>
      </c>
      <c r="R284" s="212"/>
      <c r="S284" s="212"/>
      <c r="Z284" s="216"/>
      <c r="AA284" s="216"/>
      <c r="IQ284" s="95"/>
      <c r="IR284" s="95"/>
      <c r="IS284" s="95"/>
      <c r="IT284" s="95"/>
      <c r="IU284" s="95"/>
    </row>
    <row r="285" spans="2:255" s="93" customFormat="1" ht="16.5" customHeight="1" hidden="1">
      <c r="B285" s="38" t="s">
        <v>70</v>
      </c>
      <c r="C285" s="105" t="s">
        <v>82</v>
      </c>
      <c r="D285" s="82">
        <f>G285+J285+M285+P285</f>
        <v>750</v>
      </c>
      <c r="E285" s="82">
        <f aca="true" t="shared" si="78" ref="E285:Q285">E280</f>
        <v>2</v>
      </c>
      <c r="F285" s="82">
        <f t="shared" si="78"/>
        <v>0</v>
      </c>
      <c r="G285" s="82">
        <f t="shared" si="78"/>
        <v>250</v>
      </c>
      <c r="H285" s="82">
        <f t="shared" si="78"/>
        <v>39</v>
      </c>
      <c r="I285" s="82">
        <f t="shared" si="78"/>
        <v>0</v>
      </c>
      <c r="J285" s="82">
        <f t="shared" si="78"/>
        <v>400</v>
      </c>
      <c r="K285" s="82">
        <f t="shared" si="78"/>
        <v>25</v>
      </c>
      <c r="L285" s="82">
        <f t="shared" si="78"/>
        <v>0</v>
      </c>
      <c r="M285" s="82">
        <f t="shared" si="78"/>
        <v>100</v>
      </c>
      <c r="N285" s="82">
        <f t="shared" si="78"/>
        <v>0</v>
      </c>
      <c r="O285" s="82">
        <f t="shared" si="78"/>
        <v>0</v>
      </c>
      <c r="P285" s="82">
        <f t="shared" si="78"/>
        <v>0</v>
      </c>
      <c r="Q285" s="82">
        <f t="shared" si="78"/>
        <v>750</v>
      </c>
      <c r="R285" s="212"/>
      <c r="S285" s="212"/>
      <c r="Z285" s="216"/>
      <c r="AA285" s="216"/>
      <c r="IQ285" s="95"/>
      <c r="IR285" s="95"/>
      <c r="IS285" s="95"/>
      <c r="IT285" s="95"/>
      <c r="IU285" s="95"/>
    </row>
    <row r="286" spans="1:255" s="93" customFormat="1" ht="46.5" customHeight="1">
      <c r="A286" s="93">
        <v>29</v>
      </c>
      <c r="B286" s="104" t="s">
        <v>55</v>
      </c>
      <c r="C286" s="108" t="s">
        <v>90</v>
      </c>
      <c r="D286" s="109">
        <f aca="true" t="shared" si="79" ref="D286:Q286">D287+D289+D288</f>
        <v>1660</v>
      </c>
      <c r="E286" s="41">
        <f t="shared" si="79"/>
        <v>9</v>
      </c>
      <c r="F286" s="41">
        <f t="shared" si="79"/>
        <v>0</v>
      </c>
      <c r="G286" s="41">
        <f t="shared" si="79"/>
        <v>583</v>
      </c>
      <c r="H286" s="41">
        <f t="shared" si="79"/>
        <v>310</v>
      </c>
      <c r="I286" s="41">
        <f t="shared" si="79"/>
        <v>0</v>
      </c>
      <c r="J286" s="41">
        <f t="shared" si="79"/>
        <v>0</v>
      </c>
      <c r="K286" s="41">
        <f t="shared" si="79"/>
        <v>192</v>
      </c>
      <c r="L286" s="41">
        <f t="shared" si="79"/>
        <v>0</v>
      </c>
      <c r="M286" s="41">
        <f t="shared" si="79"/>
        <v>0</v>
      </c>
      <c r="N286" s="41">
        <f t="shared" si="79"/>
        <v>0</v>
      </c>
      <c r="O286" s="41">
        <f t="shared" si="79"/>
        <v>0</v>
      </c>
      <c r="P286" s="41">
        <f t="shared" si="79"/>
        <v>1077</v>
      </c>
      <c r="Q286" s="41">
        <f t="shared" si="79"/>
        <v>1660</v>
      </c>
      <c r="R286" s="212"/>
      <c r="S286" s="212"/>
      <c r="Z286" s="233">
        <v>0</v>
      </c>
      <c r="AA286" s="226">
        <f>D286+Z286</f>
        <v>1660</v>
      </c>
      <c r="IQ286" s="95"/>
      <c r="IR286" s="95"/>
      <c r="IS286" s="95"/>
      <c r="IT286" s="95"/>
      <c r="IU286" s="95"/>
    </row>
    <row r="287" spans="2:255" s="93" customFormat="1" ht="16.5" customHeight="1">
      <c r="B287" s="43" t="s">
        <v>65</v>
      </c>
      <c r="C287" s="106" t="s">
        <v>23</v>
      </c>
      <c r="D287" s="51">
        <f>G287+J287+M287+P287</f>
        <v>1395</v>
      </c>
      <c r="E287" s="82">
        <v>7</v>
      </c>
      <c r="F287" s="83"/>
      <c r="G287" s="29">
        <v>490</v>
      </c>
      <c r="H287" s="82">
        <v>-7</v>
      </c>
      <c r="I287" s="83">
        <v>0</v>
      </c>
      <c r="J287" s="29">
        <v>0</v>
      </c>
      <c r="K287" s="82">
        <v>0</v>
      </c>
      <c r="L287" s="83">
        <v>0</v>
      </c>
      <c r="M287" s="29">
        <f>K287+L287</f>
        <v>0</v>
      </c>
      <c r="N287" s="82">
        <v>428</v>
      </c>
      <c r="O287" s="83">
        <v>0</v>
      </c>
      <c r="P287" s="29">
        <v>905</v>
      </c>
      <c r="Q287" s="29">
        <f>G287+J287+M287+P287</f>
        <v>1395</v>
      </c>
      <c r="R287" s="212"/>
      <c r="S287" s="212"/>
      <c r="Z287" s="209">
        <v>0</v>
      </c>
      <c r="AA287" s="130">
        <f>D287+Z287</f>
        <v>1395</v>
      </c>
      <c r="IQ287" s="95"/>
      <c r="IR287" s="95"/>
      <c r="IS287" s="95"/>
      <c r="IT287" s="95"/>
      <c r="IU287" s="95"/>
    </row>
    <row r="288" spans="2:255" s="93" customFormat="1" ht="16.5" customHeight="1">
      <c r="B288" s="43" t="s">
        <v>66</v>
      </c>
      <c r="C288" s="106" t="s">
        <v>30</v>
      </c>
      <c r="D288" s="51">
        <f>G288+J288+M288+P288</f>
        <v>0</v>
      </c>
      <c r="E288" s="82"/>
      <c r="F288" s="83"/>
      <c r="G288" s="29"/>
      <c r="H288" s="82">
        <v>268</v>
      </c>
      <c r="I288" s="83">
        <v>0</v>
      </c>
      <c r="J288" s="29">
        <v>0</v>
      </c>
      <c r="K288" s="82">
        <v>161</v>
      </c>
      <c r="L288" s="83">
        <v>0</v>
      </c>
      <c r="M288" s="29">
        <v>0</v>
      </c>
      <c r="N288" s="82">
        <v>-428</v>
      </c>
      <c r="O288" s="83">
        <v>0</v>
      </c>
      <c r="P288" s="29">
        <v>0</v>
      </c>
      <c r="Q288" s="29">
        <f>G288+J288+M288+P288</f>
        <v>0</v>
      </c>
      <c r="R288" s="212"/>
      <c r="S288" s="212"/>
      <c r="Z288" s="209">
        <v>0</v>
      </c>
      <c r="AA288" s="130">
        <f>D288+Z288</f>
        <v>0</v>
      </c>
      <c r="IQ288" s="95"/>
      <c r="IR288" s="95"/>
      <c r="IS288" s="95"/>
      <c r="IT288" s="95"/>
      <c r="IU288" s="95"/>
    </row>
    <row r="289" spans="2:255" s="93" customFormat="1" ht="16.5" customHeight="1">
      <c r="B289" s="38" t="s">
        <v>67</v>
      </c>
      <c r="C289" s="106" t="s">
        <v>27</v>
      </c>
      <c r="D289" s="51">
        <f>G289+J289+M289+P289</f>
        <v>265</v>
      </c>
      <c r="E289" s="82">
        <v>2</v>
      </c>
      <c r="F289" s="83"/>
      <c r="G289" s="29">
        <v>93</v>
      </c>
      <c r="H289" s="82">
        <v>49</v>
      </c>
      <c r="I289" s="83"/>
      <c r="J289" s="29">
        <v>0</v>
      </c>
      <c r="K289" s="82">
        <v>31</v>
      </c>
      <c r="L289" s="83"/>
      <c r="M289" s="29">
        <v>0</v>
      </c>
      <c r="N289" s="82"/>
      <c r="O289" s="83"/>
      <c r="P289" s="29">
        <v>172</v>
      </c>
      <c r="Q289" s="29">
        <f>G289+J289+M289+P289</f>
        <v>265</v>
      </c>
      <c r="R289" s="212"/>
      <c r="S289" s="212"/>
      <c r="Z289" s="209">
        <v>0</v>
      </c>
      <c r="AA289" s="130">
        <f>D289+Z289</f>
        <v>265</v>
      </c>
      <c r="IQ289" s="95"/>
      <c r="IR289" s="95"/>
      <c r="IS289" s="95"/>
      <c r="IT289" s="95"/>
      <c r="IU289" s="95"/>
    </row>
    <row r="290" spans="2:255" s="93" customFormat="1" ht="16.5" customHeight="1" hidden="1">
      <c r="B290" s="38"/>
      <c r="C290" s="43"/>
      <c r="D290" s="51"/>
      <c r="E290" s="82"/>
      <c r="F290" s="83"/>
      <c r="G290" s="29"/>
      <c r="H290" s="82"/>
      <c r="I290" s="83"/>
      <c r="J290" s="29"/>
      <c r="K290" s="82"/>
      <c r="L290" s="83"/>
      <c r="M290" s="29">
        <f>K290+L290</f>
        <v>0</v>
      </c>
      <c r="N290" s="82"/>
      <c r="O290" s="83"/>
      <c r="P290" s="29">
        <f>N290+O290</f>
        <v>0</v>
      </c>
      <c r="Q290" s="29"/>
      <c r="R290" s="212"/>
      <c r="S290" s="212"/>
      <c r="Z290" s="216"/>
      <c r="AA290" s="216"/>
      <c r="IQ290" s="95"/>
      <c r="IR290" s="95"/>
      <c r="IS290" s="95"/>
      <c r="IT290" s="95"/>
      <c r="IU290" s="95"/>
    </row>
    <row r="291" spans="2:255" s="93" customFormat="1" ht="16.5" customHeight="1" hidden="1">
      <c r="B291" s="39"/>
      <c r="C291" s="107"/>
      <c r="D291" s="109">
        <f>D292+D293+D294</f>
        <v>1660</v>
      </c>
      <c r="E291" s="101">
        <v>0</v>
      </c>
      <c r="F291" s="101">
        <f aca="true" t="shared" si="80" ref="F291:P291">F292+F293+F294</f>
        <v>0</v>
      </c>
      <c r="G291" s="101">
        <f t="shared" si="80"/>
        <v>583</v>
      </c>
      <c r="H291" s="101">
        <f t="shared" si="80"/>
        <v>310</v>
      </c>
      <c r="I291" s="101">
        <f t="shared" si="80"/>
        <v>0</v>
      </c>
      <c r="J291" s="101">
        <f t="shared" si="80"/>
        <v>0</v>
      </c>
      <c r="K291" s="101">
        <f t="shared" si="80"/>
        <v>192</v>
      </c>
      <c r="L291" s="101">
        <f t="shared" si="80"/>
        <v>0</v>
      </c>
      <c r="M291" s="101">
        <f t="shared" si="80"/>
        <v>0</v>
      </c>
      <c r="N291" s="101">
        <f t="shared" si="80"/>
        <v>428</v>
      </c>
      <c r="O291" s="101">
        <f t="shared" si="80"/>
        <v>0</v>
      </c>
      <c r="P291" s="101">
        <f t="shared" si="80"/>
        <v>1077</v>
      </c>
      <c r="Q291" s="101">
        <f>Q292+Q294+Q293</f>
        <v>755</v>
      </c>
      <c r="R291" s="212"/>
      <c r="S291" s="212"/>
      <c r="Z291" s="216"/>
      <c r="AA291" s="216"/>
      <c r="IQ291" s="95"/>
      <c r="IR291" s="95"/>
      <c r="IS291" s="95"/>
      <c r="IT291" s="95"/>
      <c r="IU291" s="95"/>
    </row>
    <row r="292" spans="2:255" s="93" customFormat="1" ht="16.5" customHeight="1" hidden="1">
      <c r="B292" s="38" t="s">
        <v>68</v>
      </c>
      <c r="C292" s="105" t="s">
        <v>81</v>
      </c>
      <c r="D292" s="51">
        <f>G292+J292+M292+P292</f>
        <v>1395</v>
      </c>
      <c r="E292" s="82">
        <f>E287</f>
        <v>7</v>
      </c>
      <c r="F292" s="82">
        <f>F287</f>
        <v>0</v>
      </c>
      <c r="G292" s="82">
        <f>G287</f>
        <v>490</v>
      </c>
      <c r="H292" s="82">
        <v>-7</v>
      </c>
      <c r="I292" s="82">
        <f aca="true" t="shared" si="81" ref="I292:P292">I287</f>
        <v>0</v>
      </c>
      <c r="J292" s="82">
        <f t="shared" si="81"/>
        <v>0</v>
      </c>
      <c r="K292" s="82">
        <f t="shared" si="81"/>
        <v>0</v>
      </c>
      <c r="L292" s="82">
        <f t="shared" si="81"/>
        <v>0</v>
      </c>
      <c r="M292" s="82">
        <f t="shared" si="81"/>
        <v>0</v>
      </c>
      <c r="N292" s="82">
        <f t="shared" si="81"/>
        <v>428</v>
      </c>
      <c r="O292" s="82">
        <f t="shared" si="81"/>
        <v>0</v>
      </c>
      <c r="P292" s="82">
        <f t="shared" si="81"/>
        <v>905</v>
      </c>
      <c r="Q292" s="82">
        <f>G292+J292+M292</f>
        <v>490</v>
      </c>
      <c r="R292" s="212"/>
      <c r="S292" s="212"/>
      <c r="Z292" s="216"/>
      <c r="AA292" s="216"/>
      <c r="IQ292" s="95"/>
      <c r="IR292" s="95"/>
      <c r="IS292" s="95"/>
      <c r="IT292" s="95"/>
      <c r="IU292" s="95"/>
    </row>
    <row r="293" spans="2:255" s="93" customFormat="1" ht="16.5" customHeight="1" hidden="1">
      <c r="B293" s="38" t="s">
        <v>69</v>
      </c>
      <c r="C293" s="105" t="s">
        <v>79</v>
      </c>
      <c r="D293" s="51">
        <f>G293+J293+M293+P293</f>
        <v>0</v>
      </c>
      <c r="E293" s="82">
        <v>0</v>
      </c>
      <c r="F293" s="82">
        <v>0</v>
      </c>
      <c r="G293" s="82">
        <v>0</v>
      </c>
      <c r="H293" s="82">
        <v>268</v>
      </c>
      <c r="I293" s="82">
        <v>0</v>
      </c>
      <c r="J293" s="82">
        <v>0</v>
      </c>
      <c r="K293" s="82">
        <v>161</v>
      </c>
      <c r="L293" s="82">
        <v>0</v>
      </c>
      <c r="M293" s="82">
        <v>0</v>
      </c>
      <c r="N293" s="82"/>
      <c r="O293" s="82"/>
      <c r="P293" s="82">
        <v>0</v>
      </c>
      <c r="Q293" s="82">
        <f>M293+J293</f>
        <v>0</v>
      </c>
      <c r="R293" s="212"/>
      <c r="S293" s="212"/>
      <c r="Z293" s="216"/>
      <c r="AA293" s="216"/>
      <c r="IQ293" s="95"/>
      <c r="IR293" s="95"/>
      <c r="IS293" s="95"/>
      <c r="IT293" s="95"/>
      <c r="IU293" s="95"/>
    </row>
    <row r="294" spans="2:255" s="93" customFormat="1" ht="16.5" customHeight="1" hidden="1">
      <c r="B294" s="38" t="s">
        <v>70</v>
      </c>
      <c r="C294" s="105" t="s">
        <v>82</v>
      </c>
      <c r="D294" s="51">
        <f>G294+J294+M294+P294</f>
        <v>265</v>
      </c>
      <c r="E294" s="82">
        <f aca="true" t="shared" si="82" ref="E294:Q294">E289</f>
        <v>2</v>
      </c>
      <c r="F294" s="82">
        <f t="shared" si="82"/>
        <v>0</v>
      </c>
      <c r="G294" s="82">
        <f t="shared" si="82"/>
        <v>93</v>
      </c>
      <c r="H294" s="82">
        <f t="shared" si="82"/>
        <v>49</v>
      </c>
      <c r="I294" s="82">
        <f t="shared" si="82"/>
        <v>0</v>
      </c>
      <c r="J294" s="82">
        <f t="shared" si="82"/>
        <v>0</v>
      </c>
      <c r="K294" s="82">
        <f t="shared" si="82"/>
        <v>31</v>
      </c>
      <c r="L294" s="82">
        <f t="shared" si="82"/>
        <v>0</v>
      </c>
      <c r="M294" s="82">
        <f t="shared" si="82"/>
        <v>0</v>
      </c>
      <c r="N294" s="82">
        <f t="shared" si="82"/>
        <v>0</v>
      </c>
      <c r="O294" s="82">
        <f t="shared" si="82"/>
        <v>0</v>
      </c>
      <c r="P294" s="82">
        <f t="shared" si="82"/>
        <v>172</v>
      </c>
      <c r="Q294" s="82">
        <f t="shared" si="82"/>
        <v>265</v>
      </c>
      <c r="R294" s="212"/>
      <c r="S294" s="212"/>
      <c r="Z294" s="216"/>
      <c r="AA294" s="216"/>
      <c r="IQ294" s="95"/>
      <c r="IR294" s="95"/>
      <c r="IS294" s="95"/>
      <c r="IT294" s="95"/>
      <c r="IU294" s="95"/>
    </row>
    <row r="295" spans="1:255" s="93" customFormat="1" ht="33" customHeight="1">
      <c r="A295" s="93">
        <v>30</v>
      </c>
      <c r="B295" s="104" t="s">
        <v>55</v>
      </c>
      <c r="C295" s="108" t="s">
        <v>91</v>
      </c>
      <c r="D295" s="41">
        <f>G295+P295</f>
        <v>1462</v>
      </c>
      <c r="E295" s="41">
        <f>E296+E297+E298</f>
        <v>9</v>
      </c>
      <c r="F295" s="41">
        <f>F296+F297+F298</f>
        <v>0</v>
      </c>
      <c r="G295" s="41">
        <f>G296+G298</f>
        <v>704</v>
      </c>
      <c r="H295" s="41"/>
      <c r="I295" s="41"/>
      <c r="J295" s="41"/>
      <c r="K295" s="41"/>
      <c r="L295" s="41"/>
      <c r="M295" s="41"/>
      <c r="N295" s="41"/>
      <c r="O295" s="41"/>
      <c r="P295" s="41">
        <f>P296+P298</f>
        <v>758</v>
      </c>
      <c r="Q295" s="41">
        <f>G295+J295+M295+P295</f>
        <v>1462</v>
      </c>
      <c r="R295" s="212"/>
      <c r="S295" s="212"/>
      <c r="Z295" s="233">
        <v>0</v>
      </c>
      <c r="AA295" s="226">
        <f>D295+Z295</f>
        <v>1462</v>
      </c>
      <c r="IQ295" s="95"/>
      <c r="IR295" s="95"/>
      <c r="IS295" s="95"/>
      <c r="IT295" s="95"/>
      <c r="IU295" s="95"/>
    </row>
    <row r="296" spans="2:255" s="93" customFormat="1" ht="16.5" customHeight="1">
      <c r="B296" s="43" t="s">
        <v>65</v>
      </c>
      <c r="C296" s="106" t="s">
        <v>23</v>
      </c>
      <c r="D296" s="82">
        <f>G296+P296</f>
        <v>1229</v>
      </c>
      <c r="E296" s="82">
        <v>6</v>
      </c>
      <c r="F296" s="83"/>
      <c r="G296" s="29">
        <v>592</v>
      </c>
      <c r="H296" s="82"/>
      <c r="I296" s="83"/>
      <c r="J296" s="29"/>
      <c r="K296" s="82"/>
      <c r="L296" s="83"/>
      <c r="M296" s="29"/>
      <c r="N296" s="82"/>
      <c r="O296" s="83"/>
      <c r="P296" s="29">
        <v>637</v>
      </c>
      <c r="Q296" s="29">
        <f>G296+J296+M296+P296</f>
        <v>1229</v>
      </c>
      <c r="R296" s="212"/>
      <c r="S296" s="212"/>
      <c r="Z296" s="209">
        <v>0</v>
      </c>
      <c r="AA296" s="130">
        <f>D296+Z296</f>
        <v>1229</v>
      </c>
      <c r="IQ296" s="95"/>
      <c r="IR296" s="95"/>
      <c r="IS296" s="95"/>
      <c r="IT296" s="95"/>
      <c r="IU296" s="95"/>
    </row>
    <row r="297" spans="2:255" s="93" customFormat="1" ht="16.5" customHeight="1">
      <c r="B297" s="43" t="s">
        <v>66</v>
      </c>
      <c r="C297" s="106" t="s">
        <v>30</v>
      </c>
      <c r="D297" s="82">
        <f>E297+H297+K297+N297</f>
        <v>0</v>
      </c>
      <c r="E297" s="82"/>
      <c r="F297" s="83"/>
      <c r="G297" s="29"/>
      <c r="H297" s="82"/>
      <c r="I297" s="83"/>
      <c r="J297" s="29"/>
      <c r="K297" s="82"/>
      <c r="L297" s="83"/>
      <c r="M297" s="29"/>
      <c r="N297" s="82"/>
      <c r="O297" s="83"/>
      <c r="P297" s="29"/>
      <c r="Q297" s="29">
        <f>G297+J297+M297+P297</f>
        <v>0</v>
      </c>
      <c r="R297" s="212"/>
      <c r="S297" s="212"/>
      <c r="Z297" s="209">
        <v>0</v>
      </c>
      <c r="AA297" s="130">
        <f>D297+Z297</f>
        <v>0</v>
      </c>
      <c r="IQ297" s="95"/>
      <c r="IR297" s="95"/>
      <c r="IS297" s="95"/>
      <c r="IT297" s="95"/>
      <c r="IU297" s="95"/>
    </row>
    <row r="298" spans="2:255" s="93" customFormat="1" ht="16.5" customHeight="1">
      <c r="B298" s="38" t="s">
        <v>67</v>
      </c>
      <c r="C298" s="106" t="s">
        <v>27</v>
      </c>
      <c r="D298" s="82">
        <f>G298+P298</f>
        <v>233</v>
      </c>
      <c r="E298" s="82">
        <v>3</v>
      </c>
      <c r="F298" s="83"/>
      <c r="G298" s="29">
        <v>112</v>
      </c>
      <c r="H298" s="82"/>
      <c r="I298" s="83"/>
      <c r="J298" s="29"/>
      <c r="K298" s="82"/>
      <c r="L298" s="83"/>
      <c r="M298" s="29"/>
      <c r="N298" s="82"/>
      <c r="O298" s="83"/>
      <c r="P298" s="29">
        <v>121</v>
      </c>
      <c r="Q298" s="29">
        <f>G298+J298+M298+P298</f>
        <v>233</v>
      </c>
      <c r="R298" s="212"/>
      <c r="S298" s="212"/>
      <c r="Z298" s="209">
        <v>0</v>
      </c>
      <c r="AA298" s="130">
        <f>D298+Z298</f>
        <v>233</v>
      </c>
      <c r="IQ298" s="95"/>
      <c r="IR298" s="95"/>
      <c r="IS298" s="95"/>
      <c r="IT298" s="95"/>
      <c r="IU298" s="95"/>
    </row>
    <row r="299" spans="2:255" s="93" customFormat="1" ht="16.5" customHeight="1" hidden="1">
      <c r="B299" s="38"/>
      <c r="C299" s="43"/>
      <c r="D299" s="82"/>
      <c r="E299" s="82"/>
      <c r="F299" s="83"/>
      <c r="G299" s="29"/>
      <c r="H299" s="82"/>
      <c r="I299" s="83"/>
      <c r="J299" s="29"/>
      <c r="K299" s="82"/>
      <c r="L299" s="83"/>
      <c r="M299" s="29"/>
      <c r="N299" s="82"/>
      <c r="O299" s="83"/>
      <c r="P299" s="29"/>
      <c r="Q299" s="29"/>
      <c r="R299" s="212"/>
      <c r="S299" s="212"/>
      <c r="Z299" s="216"/>
      <c r="AA299" s="216"/>
      <c r="IQ299" s="95"/>
      <c r="IR299" s="95"/>
      <c r="IS299" s="95"/>
      <c r="IT299" s="95"/>
      <c r="IU299" s="95"/>
    </row>
    <row r="300" spans="2:255" s="93" customFormat="1" ht="16.5" customHeight="1" hidden="1">
      <c r="B300" s="39"/>
      <c r="C300" s="107"/>
      <c r="D300" s="101">
        <f>D301+D302+D303</f>
        <v>1462</v>
      </c>
      <c r="E300" s="101">
        <v>0</v>
      </c>
      <c r="F300" s="102">
        <f aca="true" t="shared" si="83" ref="F300:P300">F301+F302+F303</f>
        <v>0</v>
      </c>
      <c r="G300" s="101">
        <f t="shared" si="83"/>
        <v>704</v>
      </c>
      <c r="H300" s="101">
        <f t="shared" si="83"/>
        <v>0</v>
      </c>
      <c r="I300" s="101">
        <f t="shared" si="83"/>
        <v>0</v>
      </c>
      <c r="J300" s="101">
        <f t="shared" si="83"/>
        <v>0</v>
      </c>
      <c r="K300" s="101">
        <f t="shared" si="83"/>
        <v>0</v>
      </c>
      <c r="L300" s="101">
        <f t="shared" si="83"/>
        <v>0</v>
      </c>
      <c r="M300" s="101">
        <f t="shared" si="83"/>
        <v>0</v>
      </c>
      <c r="N300" s="101">
        <f t="shared" si="83"/>
        <v>0</v>
      </c>
      <c r="O300" s="101">
        <f t="shared" si="83"/>
        <v>0</v>
      </c>
      <c r="P300" s="101">
        <f t="shared" si="83"/>
        <v>758</v>
      </c>
      <c r="Q300" s="101">
        <f>G300+J300+M300+P300</f>
        <v>1462</v>
      </c>
      <c r="R300" s="212"/>
      <c r="S300" s="212"/>
      <c r="Z300" s="216"/>
      <c r="AA300" s="216"/>
      <c r="IQ300" s="95"/>
      <c r="IR300" s="95"/>
      <c r="IS300" s="95"/>
      <c r="IT300" s="95"/>
      <c r="IU300" s="95"/>
    </row>
    <row r="301" spans="2:255" s="93" customFormat="1" ht="16.5" customHeight="1" hidden="1">
      <c r="B301" s="38" t="s">
        <v>68</v>
      </c>
      <c r="C301" s="105" t="s">
        <v>81</v>
      </c>
      <c r="D301" s="82">
        <f>G301+P301</f>
        <v>1229</v>
      </c>
      <c r="E301" s="82">
        <f>E296</f>
        <v>6</v>
      </c>
      <c r="F301" s="82">
        <f>F296</f>
        <v>0</v>
      </c>
      <c r="G301" s="82">
        <v>592</v>
      </c>
      <c r="H301" s="82"/>
      <c r="I301" s="82"/>
      <c r="J301" s="82"/>
      <c r="K301" s="82"/>
      <c r="L301" s="82"/>
      <c r="M301" s="82"/>
      <c r="N301" s="82"/>
      <c r="O301" s="82"/>
      <c r="P301" s="82">
        <v>637</v>
      </c>
      <c r="Q301" s="101">
        <f>G301+J301+M301+P301</f>
        <v>1229</v>
      </c>
      <c r="R301" s="212"/>
      <c r="S301" s="212"/>
      <c r="Z301" s="216"/>
      <c r="AA301" s="216"/>
      <c r="IQ301" s="95"/>
      <c r="IR301" s="95"/>
      <c r="IS301" s="95"/>
      <c r="IT301" s="95"/>
      <c r="IU301" s="95"/>
    </row>
    <row r="302" spans="2:255" s="93" customFormat="1" ht="16.5" customHeight="1" hidden="1">
      <c r="B302" s="38" t="s">
        <v>69</v>
      </c>
      <c r="C302" s="105" t="s">
        <v>79</v>
      </c>
      <c r="D302" s="82">
        <f>E302+H302+K302+N302</f>
        <v>0</v>
      </c>
      <c r="E302" s="82"/>
      <c r="F302" s="82"/>
      <c r="G302" s="82"/>
      <c r="H302" s="82"/>
      <c r="I302" s="82"/>
      <c r="J302" s="82"/>
      <c r="K302" s="82"/>
      <c r="L302" s="82"/>
      <c r="M302" s="82"/>
      <c r="N302" s="82"/>
      <c r="O302" s="82"/>
      <c r="P302" s="82"/>
      <c r="Q302" s="101">
        <f>G302+J302+M302+P302</f>
        <v>0</v>
      </c>
      <c r="R302" s="212"/>
      <c r="S302" s="212"/>
      <c r="Z302" s="216"/>
      <c r="AA302" s="216"/>
      <c r="IQ302" s="95"/>
      <c r="IR302" s="95"/>
      <c r="IS302" s="95"/>
      <c r="IT302" s="95"/>
      <c r="IU302" s="95"/>
    </row>
    <row r="303" spans="2:255" s="93" customFormat="1" ht="16.5" customHeight="1" hidden="1">
      <c r="B303" s="38" t="s">
        <v>70</v>
      </c>
      <c r="C303" s="105" t="s">
        <v>82</v>
      </c>
      <c r="D303" s="82">
        <f>G303+P303</f>
        <v>233</v>
      </c>
      <c r="E303" s="82">
        <f>E298</f>
        <v>3</v>
      </c>
      <c r="F303" s="82">
        <f>F298</f>
        <v>0</v>
      </c>
      <c r="G303" s="82">
        <v>112</v>
      </c>
      <c r="H303" s="82"/>
      <c r="I303" s="82"/>
      <c r="J303" s="82"/>
      <c r="K303" s="82"/>
      <c r="L303" s="82"/>
      <c r="M303" s="82"/>
      <c r="N303" s="82"/>
      <c r="O303" s="82"/>
      <c r="P303" s="82">
        <v>121</v>
      </c>
      <c r="Q303" s="101">
        <f>G303+J303+M303+P303</f>
        <v>233</v>
      </c>
      <c r="R303" s="212"/>
      <c r="S303" s="212"/>
      <c r="Z303" s="216"/>
      <c r="AA303" s="216"/>
      <c r="IQ303" s="95"/>
      <c r="IR303" s="95"/>
      <c r="IS303" s="95"/>
      <c r="IT303" s="95"/>
      <c r="IU303" s="95"/>
    </row>
    <row r="304" spans="1:255" s="93" customFormat="1" ht="34.5" customHeight="1">
      <c r="A304" s="93">
        <v>31</v>
      </c>
      <c r="B304" s="104" t="s">
        <v>33</v>
      </c>
      <c r="C304" s="108" t="s">
        <v>92</v>
      </c>
      <c r="D304" s="41">
        <f aca="true" t="shared" si="84" ref="D304:P304">D305+D306+D307</f>
        <v>475</v>
      </c>
      <c r="E304" s="41">
        <f t="shared" si="84"/>
        <v>8</v>
      </c>
      <c r="F304" s="41">
        <f t="shared" si="84"/>
        <v>0</v>
      </c>
      <c r="G304" s="41">
        <f>G305+G306+G307</f>
        <v>250</v>
      </c>
      <c r="H304" s="41">
        <f t="shared" si="84"/>
        <v>20</v>
      </c>
      <c r="I304" s="41">
        <f t="shared" si="84"/>
        <v>0</v>
      </c>
      <c r="J304" s="41">
        <f t="shared" si="84"/>
        <v>225</v>
      </c>
      <c r="K304" s="41">
        <f t="shared" si="84"/>
        <v>20</v>
      </c>
      <c r="L304" s="41">
        <f t="shared" si="84"/>
        <v>0</v>
      </c>
      <c r="M304" s="41">
        <f t="shared" si="84"/>
        <v>0</v>
      </c>
      <c r="N304" s="41">
        <f t="shared" si="84"/>
        <v>0</v>
      </c>
      <c r="O304" s="41">
        <f t="shared" si="84"/>
        <v>0</v>
      </c>
      <c r="P304" s="41">
        <f t="shared" si="84"/>
        <v>0</v>
      </c>
      <c r="Q304" s="41">
        <v>48</v>
      </c>
      <c r="R304" s="212"/>
      <c r="S304" s="212"/>
      <c r="Z304" s="233">
        <v>0</v>
      </c>
      <c r="AA304" s="226">
        <f>D304+Z304</f>
        <v>475</v>
      </c>
      <c r="IQ304" s="95"/>
      <c r="IR304" s="95"/>
      <c r="IS304" s="95"/>
      <c r="IT304" s="95"/>
      <c r="IU304" s="95"/>
    </row>
    <row r="305" spans="2:255" s="93" customFormat="1" ht="16.5" customHeight="1">
      <c r="B305" s="43" t="s">
        <v>65</v>
      </c>
      <c r="C305" s="106" t="s">
        <v>23</v>
      </c>
      <c r="D305" s="82">
        <f>G305+J305+M305+P305</f>
        <v>398</v>
      </c>
      <c r="E305" s="82">
        <v>6</v>
      </c>
      <c r="F305" s="83"/>
      <c r="G305" s="29">
        <v>210</v>
      </c>
      <c r="H305" s="82">
        <v>-6</v>
      </c>
      <c r="I305" s="83">
        <v>0</v>
      </c>
      <c r="J305" s="29">
        <v>188</v>
      </c>
      <c r="K305" s="82">
        <v>0</v>
      </c>
      <c r="L305" s="83">
        <v>0</v>
      </c>
      <c r="M305" s="29">
        <v>0</v>
      </c>
      <c r="N305" s="82">
        <v>38</v>
      </c>
      <c r="O305" s="83">
        <v>0</v>
      </c>
      <c r="P305" s="29">
        <v>0</v>
      </c>
      <c r="Q305" s="29">
        <f>G305+J305+M305+P305</f>
        <v>398</v>
      </c>
      <c r="R305" s="212"/>
      <c r="S305" s="212"/>
      <c r="Z305" s="209">
        <v>0</v>
      </c>
      <c r="AA305" s="130">
        <f>D305+Z305</f>
        <v>398</v>
      </c>
      <c r="IQ305" s="95"/>
      <c r="IR305" s="95"/>
      <c r="IS305" s="95"/>
      <c r="IT305" s="95"/>
      <c r="IU305" s="95"/>
    </row>
    <row r="306" spans="2:255" s="93" customFormat="1" ht="16.5" customHeight="1">
      <c r="B306" s="43" t="s">
        <v>66</v>
      </c>
      <c r="C306" s="106" t="s">
        <v>30</v>
      </c>
      <c r="D306" s="82">
        <f>Q306</f>
        <v>0</v>
      </c>
      <c r="E306" s="82"/>
      <c r="F306" s="83"/>
      <c r="G306" s="29"/>
      <c r="H306" s="82">
        <v>23</v>
      </c>
      <c r="I306" s="83">
        <v>0</v>
      </c>
      <c r="J306" s="29">
        <v>0</v>
      </c>
      <c r="K306" s="82">
        <v>17</v>
      </c>
      <c r="L306" s="83">
        <v>0</v>
      </c>
      <c r="M306" s="29">
        <v>0</v>
      </c>
      <c r="N306" s="82">
        <v>-38</v>
      </c>
      <c r="O306" s="83">
        <v>0</v>
      </c>
      <c r="P306" s="29">
        <v>0</v>
      </c>
      <c r="Q306" s="29">
        <f>G306+J306+M306+P306</f>
        <v>0</v>
      </c>
      <c r="R306" s="212"/>
      <c r="S306" s="212"/>
      <c r="Z306" s="209">
        <v>0</v>
      </c>
      <c r="AA306" s="130">
        <f>D306+Z306</f>
        <v>0</v>
      </c>
      <c r="IQ306" s="95"/>
      <c r="IR306" s="95"/>
      <c r="IS306" s="95"/>
      <c r="IT306" s="95"/>
      <c r="IU306" s="95"/>
    </row>
    <row r="307" spans="2:255" s="93" customFormat="1" ht="16.5" customHeight="1">
      <c r="B307" s="38" t="s">
        <v>67</v>
      </c>
      <c r="C307" s="106" t="s">
        <v>27</v>
      </c>
      <c r="D307" s="82">
        <f>G307+J307+M307+P307</f>
        <v>77</v>
      </c>
      <c r="E307" s="82">
        <v>2</v>
      </c>
      <c r="F307" s="83"/>
      <c r="G307" s="29">
        <v>40</v>
      </c>
      <c r="H307" s="82">
        <v>3</v>
      </c>
      <c r="I307" s="83"/>
      <c r="J307" s="29">
        <v>37</v>
      </c>
      <c r="K307" s="82">
        <v>3</v>
      </c>
      <c r="L307" s="83"/>
      <c r="M307" s="29">
        <v>0</v>
      </c>
      <c r="N307" s="82"/>
      <c r="O307" s="83"/>
      <c r="P307" s="29">
        <v>0</v>
      </c>
      <c r="Q307" s="29">
        <v>8</v>
      </c>
      <c r="R307" s="212"/>
      <c r="S307" s="212"/>
      <c r="Z307" s="209">
        <v>0</v>
      </c>
      <c r="AA307" s="130">
        <f>D307+Z307</f>
        <v>77</v>
      </c>
      <c r="IQ307" s="95"/>
      <c r="IR307" s="95"/>
      <c r="IS307" s="95"/>
      <c r="IT307" s="95"/>
      <c r="IU307" s="95"/>
    </row>
    <row r="308" spans="2:255" s="93" customFormat="1" ht="16.5" customHeight="1" hidden="1">
      <c r="B308" s="38"/>
      <c r="C308" s="43"/>
      <c r="D308" s="82"/>
      <c r="E308" s="82"/>
      <c r="F308" s="83"/>
      <c r="G308" s="29"/>
      <c r="H308" s="82"/>
      <c r="I308" s="83"/>
      <c r="J308" s="29"/>
      <c r="K308" s="82"/>
      <c r="L308" s="83"/>
      <c r="M308" s="29">
        <v>0</v>
      </c>
      <c r="N308" s="82"/>
      <c r="O308" s="83"/>
      <c r="P308" s="29">
        <v>0</v>
      </c>
      <c r="Q308" s="29"/>
      <c r="R308" s="212"/>
      <c r="S308" s="212"/>
      <c r="Z308" s="216"/>
      <c r="AA308" s="216"/>
      <c r="IQ308" s="95"/>
      <c r="IR308" s="95"/>
      <c r="IS308" s="95"/>
      <c r="IT308" s="95"/>
      <c r="IU308" s="95"/>
    </row>
    <row r="309" spans="2:255" s="93" customFormat="1" ht="16.5" customHeight="1" hidden="1">
      <c r="B309" s="39"/>
      <c r="C309" s="107"/>
      <c r="D309" s="101">
        <f>D310+D311+D312</f>
        <v>475</v>
      </c>
      <c r="E309" s="101">
        <v>0</v>
      </c>
      <c r="F309" s="102">
        <f aca="true" t="shared" si="85" ref="F309:P309">F310+F311+F312</f>
        <v>0</v>
      </c>
      <c r="G309" s="101">
        <f t="shared" si="85"/>
        <v>250</v>
      </c>
      <c r="H309" s="101">
        <f t="shared" si="85"/>
        <v>20</v>
      </c>
      <c r="I309" s="101">
        <f t="shared" si="85"/>
        <v>0</v>
      </c>
      <c r="J309" s="101">
        <f t="shared" si="85"/>
        <v>225</v>
      </c>
      <c r="K309" s="101">
        <f t="shared" si="85"/>
        <v>20</v>
      </c>
      <c r="L309" s="101">
        <f t="shared" si="85"/>
        <v>0</v>
      </c>
      <c r="M309" s="101">
        <f t="shared" si="85"/>
        <v>0</v>
      </c>
      <c r="N309" s="101">
        <f t="shared" si="85"/>
        <v>0</v>
      </c>
      <c r="O309" s="101">
        <f t="shared" si="85"/>
        <v>0</v>
      </c>
      <c r="P309" s="101">
        <f t="shared" si="85"/>
        <v>0</v>
      </c>
      <c r="Q309" s="101">
        <v>48</v>
      </c>
      <c r="R309" s="212"/>
      <c r="S309" s="212"/>
      <c r="Z309" s="216"/>
      <c r="AA309" s="216"/>
      <c r="IQ309" s="95"/>
      <c r="IR309" s="95"/>
      <c r="IS309" s="95"/>
      <c r="IT309" s="95"/>
      <c r="IU309" s="95"/>
    </row>
    <row r="310" spans="2:255" s="93" customFormat="1" ht="16.5" customHeight="1" hidden="1">
      <c r="B310" s="38" t="s">
        <v>68</v>
      </c>
      <c r="C310" s="105" t="s">
        <v>81</v>
      </c>
      <c r="D310" s="82">
        <f>G310+J310+M310+P310</f>
        <v>398</v>
      </c>
      <c r="E310" s="82">
        <v>6</v>
      </c>
      <c r="F310" s="82">
        <v>0</v>
      </c>
      <c r="G310" s="82">
        <v>210</v>
      </c>
      <c r="H310" s="82">
        <v>-6</v>
      </c>
      <c r="I310" s="82">
        <v>0</v>
      </c>
      <c r="J310" s="82">
        <v>188</v>
      </c>
      <c r="K310" s="82">
        <v>0</v>
      </c>
      <c r="L310" s="82">
        <v>0</v>
      </c>
      <c r="M310" s="82">
        <v>0</v>
      </c>
      <c r="N310" s="82">
        <v>0</v>
      </c>
      <c r="O310" s="82">
        <v>0</v>
      </c>
      <c r="P310" s="82">
        <v>0</v>
      </c>
      <c r="Q310" s="82">
        <v>0</v>
      </c>
      <c r="R310" s="212"/>
      <c r="S310" s="212"/>
      <c r="Z310" s="216"/>
      <c r="AA310" s="216"/>
      <c r="IQ310" s="95"/>
      <c r="IR310" s="95"/>
      <c r="IS310" s="95"/>
      <c r="IT310" s="95"/>
      <c r="IU310" s="95"/>
    </row>
    <row r="311" spans="2:255" s="93" customFormat="1" ht="16.5" customHeight="1" hidden="1">
      <c r="B311" s="38" t="s">
        <v>69</v>
      </c>
      <c r="C311" s="105" t="s">
        <v>79</v>
      </c>
      <c r="D311" s="82">
        <v>0</v>
      </c>
      <c r="E311" s="82"/>
      <c r="F311" s="82"/>
      <c r="G311" s="82"/>
      <c r="H311" s="82">
        <v>23</v>
      </c>
      <c r="I311" s="82">
        <v>0</v>
      </c>
      <c r="J311" s="82">
        <v>0</v>
      </c>
      <c r="K311" s="82">
        <v>17</v>
      </c>
      <c r="L311" s="82">
        <v>0</v>
      </c>
      <c r="M311" s="82">
        <v>0</v>
      </c>
      <c r="N311" s="82"/>
      <c r="O311" s="82"/>
      <c r="P311" s="82"/>
      <c r="Q311" s="82">
        <f>G311+J311+M311+P311</f>
        <v>0</v>
      </c>
      <c r="R311" s="212"/>
      <c r="S311" s="212"/>
      <c r="Z311" s="216"/>
      <c r="AA311" s="216"/>
      <c r="IQ311" s="95"/>
      <c r="IR311" s="95"/>
      <c r="IS311" s="95"/>
      <c r="IT311" s="95"/>
      <c r="IU311" s="95"/>
    </row>
    <row r="312" spans="2:255" s="93" customFormat="1" ht="16.5" customHeight="1" hidden="1">
      <c r="B312" s="38" t="s">
        <v>70</v>
      </c>
      <c r="C312" s="105" t="s">
        <v>82</v>
      </c>
      <c r="D312" s="82">
        <f>G312+J312+M312+P312</f>
        <v>77</v>
      </c>
      <c r="E312" s="82">
        <v>2</v>
      </c>
      <c r="F312" s="82">
        <v>0</v>
      </c>
      <c r="G312" s="82">
        <v>40</v>
      </c>
      <c r="H312" s="82">
        <v>3</v>
      </c>
      <c r="I312" s="82">
        <v>0</v>
      </c>
      <c r="J312" s="82">
        <v>37</v>
      </c>
      <c r="K312" s="82">
        <v>3</v>
      </c>
      <c r="L312" s="82">
        <v>0</v>
      </c>
      <c r="M312" s="82">
        <v>0</v>
      </c>
      <c r="N312" s="82">
        <v>0</v>
      </c>
      <c r="O312" s="82">
        <v>0</v>
      </c>
      <c r="P312" s="82">
        <v>0</v>
      </c>
      <c r="Q312" s="82">
        <v>8</v>
      </c>
      <c r="R312" s="212"/>
      <c r="S312" s="212"/>
      <c r="Z312" s="216"/>
      <c r="AA312" s="216"/>
      <c r="IQ312" s="95"/>
      <c r="IR312" s="95"/>
      <c r="IS312" s="95"/>
      <c r="IT312" s="95"/>
      <c r="IU312" s="95"/>
    </row>
    <row r="313" spans="1:255" s="93" customFormat="1" ht="31.5" customHeight="1">
      <c r="A313" s="93">
        <v>32</v>
      </c>
      <c r="B313" s="104" t="s">
        <v>33</v>
      </c>
      <c r="C313" s="108" t="s">
        <v>93</v>
      </c>
      <c r="D313" s="41">
        <f aca="true" t="shared" si="86" ref="D313:Q313">D314+D316</f>
        <v>1807</v>
      </c>
      <c r="E313" s="41">
        <f t="shared" si="86"/>
        <v>6</v>
      </c>
      <c r="F313" s="42">
        <f t="shared" si="86"/>
        <v>0</v>
      </c>
      <c r="G313" s="41">
        <f t="shared" si="86"/>
        <v>158</v>
      </c>
      <c r="H313" s="41">
        <f t="shared" si="86"/>
        <v>172</v>
      </c>
      <c r="I313" s="42">
        <f t="shared" si="86"/>
        <v>0</v>
      </c>
      <c r="J313" s="41">
        <f t="shared" si="86"/>
        <v>322</v>
      </c>
      <c r="K313" s="41">
        <f t="shared" si="86"/>
        <v>335</v>
      </c>
      <c r="L313" s="42">
        <f t="shared" si="86"/>
        <v>0</v>
      </c>
      <c r="M313" s="41">
        <f t="shared" si="86"/>
        <v>18</v>
      </c>
      <c r="N313" s="41">
        <f t="shared" si="86"/>
        <v>0</v>
      </c>
      <c r="O313" s="42">
        <f t="shared" si="86"/>
        <v>0</v>
      </c>
      <c r="P313" s="41">
        <f t="shared" si="86"/>
        <v>1309</v>
      </c>
      <c r="Q313" s="41">
        <f t="shared" si="86"/>
        <v>1807</v>
      </c>
      <c r="R313" s="212"/>
      <c r="S313" s="212"/>
      <c r="Z313" s="233">
        <v>0</v>
      </c>
      <c r="AA313" s="226">
        <f>D313+Z313</f>
        <v>1807</v>
      </c>
      <c r="IQ313" s="95"/>
      <c r="IR313" s="95"/>
      <c r="IS313" s="95"/>
      <c r="IT313" s="95"/>
      <c r="IU313" s="95"/>
    </row>
    <row r="314" spans="2:255" s="93" customFormat="1" ht="16.5" customHeight="1">
      <c r="B314" s="43" t="s">
        <v>65</v>
      </c>
      <c r="C314" s="106" t="s">
        <v>23</v>
      </c>
      <c r="D314" s="82">
        <f>G314+J314+M314+P314</f>
        <v>1505</v>
      </c>
      <c r="E314" s="82">
        <v>5</v>
      </c>
      <c r="F314" s="83"/>
      <c r="G314" s="29">
        <v>120</v>
      </c>
      <c r="H314" s="82">
        <v>145</v>
      </c>
      <c r="I314" s="83"/>
      <c r="J314" s="29">
        <v>270</v>
      </c>
      <c r="K314" s="82">
        <v>282</v>
      </c>
      <c r="L314" s="83"/>
      <c r="M314" s="29">
        <v>15</v>
      </c>
      <c r="N314" s="82"/>
      <c r="O314" s="83"/>
      <c r="P314" s="29">
        <v>1100</v>
      </c>
      <c r="Q314" s="29">
        <f>G314+J314+M314+P314</f>
        <v>1505</v>
      </c>
      <c r="R314" s="212"/>
      <c r="S314" s="212"/>
      <c r="Z314" s="209">
        <v>0</v>
      </c>
      <c r="AA314" s="130">
        <f>D314+Z314</f>
        <v>1505</v>
      </c>
      <c r="IQ314" s="95"/>
      <c r="IR314" s="95"/>
      <c r="IS314" s="95"/>
      <c r="IT314" s="95"/>
      <c r="IU314" s="95"/>
    </row>
    <row r="315" spans="2:255" s="93" customFormat="1" ht="16.5" customHeight="1">
      <c r="B315" s="43" t="s">
        <v>66</v>
      </c>
      <c r="C315" s="106" t="s">
        <v>30</v>
      </c>
      <c r="D315" s="82"/>
      <c r="E315" s="82"/>
      <c r="F315" s="83"/>
      <c r="G315" s="29"/>
      <c r="H315" s="82"/>
      <c r="I315" s="83"/>
      <c r="J315" s="29"/>
      <c r="K315" s="82"/>
      <c r="L315" s="83"/>
      <c r="M315" s="29"/>
      <c r="N315" s="82"/>
      <c r="O315" s="83"/>
      <c r="P315" s="29"/>
      <c r="Q315" s="29"/>
      <c r="R315" s="212"/>
      <c r="S315" s="212"/>
      <c r="Z315" s="209">
        <v>0</v>
      </c>
      <c r="AA315" s="130">
        <f>D315+Z315</f>
        <v>0</v>
      </c>
      <c r="IQ315" s="95"/>
      <c r="IR315" s="95"/>
      <c r="IS315" s="95"/>
      <c r="IT315" s="95"/>
      <c r="IU315" s="95"/>
    </row>
    <row r="316" spans="2:255" s="93" customFormat="1" ht="16.5" customHeight="1">
      <c r="B316" s="38" t="s">
        <v>67</v>
      </c>
      <c r="C316" s="106" t="s">
        <v>27</v>
      </c>
      <c r="D316" s="82">
        <f>G316+J316+M316+P316</f>
        <v>302</v>
      </c>
      <c r="E316" s="82">
        <v>1</v>
      </c>
      <c r="F316" s="83"/>
      <c r="G316" s="29">
        <v>38</v>
      </c>
      <c r="H316" s="82">
        <v>27</v>
      </c>
      <c r="I316" s="83"/>
      <c r="J316" s="29">
        <v>52</v>
      </c>
      <c r="K316" s="82">
        <v>53</v>
      </c>
      <c r="L316" s="83"/>
      <c r="M316" s="29">
        <v>3</v>
      </c>
      <c r="N316" s="82"/>
      <c r="O316" s="83"/>
      <c r="P316" s="29">
        <v>209</v>
      </c>
      <c r="Q316" s="29">
        <f>G316+J316+M316+P316</f>
        <v>302</v>
      </c>
      <c r="R316" s="212"/>
      <c r="S316" s="212"/>
      <c r="Z316" s="209">
        <v>0</v>
      </c>
      <c r="AA316" s="130">
        <f>D316+Z316</f>
        <v>302</v>
      </c>
      <c r="IQ316" s="95"/>
      <c r="IR316" s="95"/>
      <c r="IS316" s="95"/>
      <c r="IT316" s="95"/>
      <c r="IU316" s="95"/>
    </row>
    <row r="317" spans="2:255" s="93" customFormat="1" ht="16.5" customHeight="1" hidden="1">
      <c r="B317" s="38"/>
      <c r="C317" s="43"/>
      <c r="D317" s="82"/>
      <c r="E317" s="82"/>
      <c r="F317" s="83"/>
      <c r="G317" s="29"/>
      <c r="H317" s="82"/>
      <c r="I317" s="83"/>
      <c r="J317" s="29"/>
      <c r="K317" s="82"/>
      <c r="L317" s="83"/>
      <c r="M317" s="29">
        <f>K317+L317</f>
        <v>0</v>
      </c>
      <c r="N317" s="82"/>
      <c r="O317" s="83"/>
      <c r="P317" s="29">
        <f>N317+O317</f>
        <v>0</v>
      </c>
      <c r="Q317" s="29"/>
      <c r="R317" s="212"/>
      <c r="S317" s="212"/>
      <c r="Z317" s="216"/>
      <c r="AA317" s="216"/>
      <c r="IQ317" s="95"/>
      <c r="IR317" s="95"/>
      <c r="IS317" s="95"/>
      <c r="IT317" s="95"/>
      <c r="IU317" s="95"/>
    </row>
    <row r="318" spans="2:255" s="93" customFormat="1" ht="16.5" customHeight="1" hidden="1">
      <c r="B318" s="39"/>
      <c r="C318" s="107"/>
      <c r="D318" s="101">
        <f>D319+D320+D321</f>
        <v>1807</v>
      </c>
      <c r="E318" s="101">
        <v>0</v>
      </c>
      <c r="F318" s="102">
        <f aca="true" t="shared" si="87" ref="F318:P318">F319+F320+F321</f>
        <v>0</v>
      </c>
      <c r="G318" s="101">
        <f t="shared" si="87"/>
        <v>158</v>
      </c>
      <c r="H318" s="101">
        <f t="shared" si="87"/>
        <v>172</v>
      </c>
      <c r="I318" s="101">
        <f t="shared" si="87"/>
        <v>0</v>
      </c>
      <c r="J318" s="101">
        <f t="shared" si="87"/>
        <v>322</v>
      </c>
      <c r="K318" s="101">
        <f t="shared" si="87"/>
        <v>335</v>
      </c>
      <c r="L318" s="101">
        <f t="shared" si="87"/>
        <v>0</v>
      </c>
      <c r="M318" s="101">
        <f t="shared" si="87"/>
        <v>18</v>
      </c>
      <c r="N318" s="101">
        <f t="shared" si="87"/>
        <v>0</v>
      </c>
      <c r="O318" s="101">
        <f t="shared" si="87"/>
        <v>0</v>
      </c>
      <c r="P318" s="101">
        <f t="shared" si="87"/>
        <v>1309</v>
      </c>
      <c r="Q318" s="101">
        <f>Q319+Q321</f>
        <v>1807</v>
      </c>
      <c r="R318" s="212"/>
      <c r="S318" s="212"/>
      <c r="Z318" s="216"/>
      <c r="AA318" s="216"/>
      <c r="IQ318" s="95"/>
      <c r="IR318" s="95"/>
      <c r="IS318" s="95"/>
      <c r="IT318" s="95"/>
      <c r="IU318" s="95"/>
    </row>
    <row r="319" spans="2:255" s="93" customFormat="1" ht="16.5" customHeight="1" hidden="1">
      <c r="B319" s="38" t="s">
        <v>68</v>
      </c>
      <c r="C319" s="105" t="s">
        <v>81</v>
      </c>
      <c r="D319" s="82">
        <f>G319+J319+M319+P319</f>
        <v>1505</v>
      </c>
      <c r="E319" s="82">
        <f aca="true" t="shared" si="88" ref="E319:Q319">E314</f>
        <v>5</v>
      </c>
      <c r="F319" s="82">
        <f t="shared" si="88"/>
        <v>0</v>
      </c>
      <c r="G319" s="82">
        <f t="shared" si="88"/>
        <v>120</v>
      </c>
      <c r="H319" s="82">
        <f t="shared" si="88"/>
        <v>145</v>
      </c>
      <c r="I319" s="82">
        <f t="shared" si="88"/>
        <v>0</v>
      </c>
      <c r="J319" s="82">
        <f t="shared" si="88"/>
        <v>270</v>
      </c>
      <c r="K319" s="82">
        <f t="shared" si="88"/>
        <v>282</v>
      </c>
      <c r="L319" s="82">
        <f t="shared" si="88"/>
        <v>0</v>
      </c>
      <c r="M319" s="82">
        <f t="shared" si="88"/>
        <v>15</v>
      </c>
      <c r="N319" s="82">
        <f t="shared" si="88"/>
        <v>0</v>
      </c>
      <c r="O319" s="82">
        <f t="shared" si="88"/>
        <v>0</v>
      </c>
      <c r="P319" s="82">
        <f t="shared" si="88"/>
        <v>1100</v>
      </c>
      <c r="Q319" s="82">
        <f t="shared" si="88"/>
        <v>1505</v>
      </c>
      <c r="R319" s="212"/>
      <c r="S319" s="212"/>
      <c r="Z319" s="216"/>
      <c r="AA319" s="216"/>
      <c r="IQ319" s="95"/>
      <c r="IR319" s="95"/>
      <c r="IS319" s="95"/>
      <c r="IT319" s="95"/>
      <c r="IU319" s="95"/>
    </row>
    <row r="320" spans="2:255" s="93" customFormat="1" ht="16.5" customHeight="1" hidden="1">
      <c r="B320" s="38" t="s">
        <v>69</v>
      </c>
      <c r="C320" s="105" t="s">
        <v>79</v>
      </c>
      <c r="D320" s="82"/>
      <c r="E320" s="82"/>
      <c r="F320" s="82"/>
      <c r="G320" s="82"/>
      <c r="H320" s="82"/>
      <c r="I320" s="82"/>
      <c r="J320" s="82"/>
      <c r="K320" s="82"/>
      <c r="L320" s="82"/>
      <c r="M320" s="82"/>
      <c r="N320" s="82"/>
      <c r="O320" s="82"/>
      <c r="P320" s="82"/>
      <c r="Q320" s="82"/>
      <c r="R320" s="212"/>
      <c r="S320" s="212"/>
      <c r="Z320" s="216"/>
      <c r="AA320" s="216"/>
      <c r="IQ320" s="95"/>
      <c r="IR320" s="95"/>
      <c r="IS320" s="95"/>
      <c r="IT320" s="95"/>
      <c r="IU320" s="95"/>
    </row>
    <row r="321" spans="2:255" s="93" customFormat="1" ht="16.5" customHeight="1" hidden="1">
      <c r="B321" s="38" t="s">
        <v>70</v>
      </c>
      <c r="C321" s="105" t="s">
        <v>82</v>
      </c>
      <c r="D321" s="82">
        <f>G321+J321+M321+P321</f>
        <v>302</v>
      </c>
      <c r="E321" s="82">
        <f aca="true" t="shared" si="89" ref="E321:Q321">E316</f>
        <v>1</v>
      </c>
      <c r="F321" s="82">
        <f t="shared" si="89"/>
        <v>0</v>
      </c>
      <c r="G321" s="82">
        <f t="shared" si="89"/>
        <v>38</v>
      </c>
      <c r="H321" s="82">
        <f t="shared" si="89"/>
        <v>27</v>
      </c>
      <c r="I321" s="82">
        <f t="shared" si="89"/>
        <v>0</v>
      </c>
      <c r="J321" s="82">
        <f t="shared" si="89"/>
        <v>52</v>
      </c>
      <c r="K321" s="82">
        <f t="shared" si="89"/>
        <v>53</v>
      </c>
      <c r="L321" s="82">
        <f t="shared" si="89"/>
        <v>0</v>
      </c>
      <c r="M321" s="82">
        <f t="shared" si="89"/>
        <v>3</v>
      </c>
      <c r="N321" s="82">
        <f t="shared" si="89"/>
        <v>0</v>
      </c>
      <c r="O321" s="82">
        <f t="shared" si="89"/>
        <v>0</v>
      </c>
      <c r="P321" s="82">
        <f t="shared" si="89"/>
        <v>209</v>
      </c>
      <c r="Q321" s="82">
        <f t="shared" si="89"/>
        <v>302</v>
      </c>
      <c r="R321" s="212"/>
      <c r="S321" s="212"/>
      <c r="Z321" s="216"/>
      <c r="AA321" s="216"/>
      <c r="IQ321" s="95"/>
      <c r="IR321" s="95"/>
      <c r="IS321" s="95"/>
      <c r="IT321" s="95"/>
      <c r="IU321" s="95"/>
    </row>
    <row r="322" spans="1:255" s="93" customFormat="1" ht="34.5" customHeight="1">
      <c r="A322" s="93">
        <v>33</v>
      </c>
      <c r="B322" s="104" t="s">
        <v>33</v>
      </c>
      <c r="C322" s="108" t="s">
        <v>94</v>
      </c>
      <c r="D322" s="109">
        <f>D323+D325+D324</f>
        <v>1271</v>
      </c>
      <c r="E322" s="41">
        <f>E323+E325</f>
        <v>6</v>
      </c>
      <c r="F322" s="41">
        <f>F323+F325</f>
        <v>0</v>
      </c>
      <c r="G322" s="41">
        <f>G323+G325</f>
        <v>469</v>
      </c>
      <c r="H322" s="41">
        <f aca="true" t="shared" si="90" ref="H322:Q322">H323+H325+H324</f>
        <v>200</v>
      </c>
      <c r="I322" s="41">
        <f t="shared" si="90"/>
        <v>0</v>
      </c>
      <c r="J322" s="41">
        <f t="shared" si="90"/>
        <v>0</v>
      </c>
      <c r="K322" s="41">
        <f t="shared" si="90"/>
        <v>126</v>
      </c>
      <c r="L322" s="41">
        <f t="shared" si="90"/>
        <v>0</v>
      </c>
      <c r="M322" s="41">
        <f t="shared" si="90"/>
        <v>0</v>
      </c>
      <c r="N322" s="41">
        <f t="shared" si="90"/>
        <v>0</v>
      </c>
      <c r="O322" s="41">
        <f t="shared" si="90"/>
        <v>0</v>
      </c>
      <c r="P322" s="41">
        <f t="shared" si="90"/>
        <v>802</v>
      </c>
      <c r="Q322" s="41">
        <f t="shared" si="90"/>
        <v>1271</v>
      </c>
      <c r="R322" s="212"/>
      <c r="S322" s="212"/>
      <c r="Z322" s="233">
        <v>0</v>
      </c>
      <c r="AA322" s="226">
        <f>D322+Z322</f>
        <v>1271</v>
      </c>
      <c r="IQ322" s="95"/>
      <c r="IR322" s="95"/>
      <c r="IS322" s="95"/>
      <c r="IT322" s="95"/>
      <c r="IU322" s="95"/>
    </row>
    <row r="323" spans="2:255" s="93" customFormat="1" ht="16.5" customHeight="1">
      <c r="B323" s="43" t="s">
        <v>65</v>
      </c>
      <c r="C323" s="106" t="s">
        <v>23</v>
      </c>
      <c r="D323" s="51">
        <f>G323+J323+M323+P323</f>
        <v>1068</v>
      </c>
      <c r="E323" s="82">
        <v>5</v>
      </c>
      <c r="F323" s="82"/>
      <c r="G323" s="29">
        <v>394</v>
      </c>
      <c r="H323" s="82">
        <v>-5</v>
      </c>
      <c r="I323" s="82">
        <v>0</v>
      </c>
      <c r="J323" s="29">
        <v>0</v>
      </c>
      <c r="K323" s="82">
        <v>0</v>
      </c>
      <c r="L323" s="82">
        <v>0</v>
      </c>
      <c r="M323" s="29">
        <f>K323+L323</f>
        <v>0</v>
      </c>
      <c r="N323" s="82">
        <v>278</v>
      </c>
      <c r="O323" s="82">
        <v>0</v>
      </c>
      <c r="P323" s="29">
        <v>674</v>
      </c>
      <c r="Q323" s="29">
        <f>G323+J323+M323+P323</f>
        <v>1068</v>
      </c>
      <c r="R323" s="212"/>
      <c r="S323" s="212"/>
      <c r="Z323" s="209">
        <v>0</v>
      </c>
      <c r="AA323" s="130">
        <f>D323+Z323</f>
        <v>1068</v>
      </c>
      <c r="IQ323" s="95"/>
      <c r="IR323" s="95"/>
      <c r="IS323" s="95"/>
      <c r="IT323" s="95"/>
      <c r="IU323" s="95"/>
    </row>
    <row r="324" spans="2:255" s="93" customFormat="1" ht="16.5" customHeight="1">
      <c r="B324" s="43" t="s">
        <v>66</v>
      </c>
      <c r="C324" s="106" t="s">
        <v>30</v>
      </c>
      <c r="D324" s="51">
        <f>G324+J324+M324+P324</f>
        <v>0</v>
      </c>
      <c r="E324" s="82"/>
      <c r="F324" s="82"/>
      <c r="G324" s="29">
        <v>0</v>
      </c>
      <c r="H324" s="82">
        <v>173</v>
      </c>
      <c r="I324" s="82">
        <v>0</v>
      </c>
      <c r="J324" s="29">
        <v>0</v>
      </c>
      <c r="K324" s="82">
        <v>106</v>
      </c>
      <c r="L324" s="82">
        <v>0</v>
      </c>
      <c r="M324" s="29">
        <v>0</v>
      </c>
      <c r="N324" s="82">
        <v>-278</v>
      </c>
      <c r="O324" s="82">
        <v>0</v>
      </c>
      <c r="P324" s="29">
        <v>0</v>
      </c>
      <c r="Q324" s="29">
        <f>G324+J324+M324+P324</f>
        <v>0</v>
      </c>
      <c r="R324" s="212"/>
      <c r="S324" s="212"/>
      <c r="Z324" s="209">
        <v>0</v>
      </c>
      <c r="AA324" s="130">
        <f>D324+Z324</f>
        <v>0</v>
      </c>
      <c r="IQ324" s="95"/>
      <c r="IR324" s="95"/>
      <c r="IS324" s="95"/>
      <c r="IT324" s="95"/>
      <c r="IU324" s="95"/>
    </row>
    <row r="325" spans="2:255" s="93" customFormat="1" ht="16.5" customHeight="1">
      <c r="B325" s="38" t="s">
        <v>67</v>
      </c>
      <c r="C325" s="106" t="s">
        <v>27</v>
      </c>
      <c r="D325" s="51">
        <f>G325+J325+M325+P325</f>
        <v>203</v>
      </c>
      <c r="E325" s="82">
        <v>1</v>
      </c>
      <c r="F325" s="82"/>
      <c r="G325" s="29">
        <v>75</v>
      </c>
      <c r="H325" s="82">
        <v>32</v>
      </c>
      <c r="I325" s="82"/>
      <c r="J325" s="29">
        <v>0</v>
      </c>
      <c r="K325" s="82">
        <v>20</v>
      </c>
      <c r="L325" s="82"/>
      <c r="M325" s="29">
        <v>0</v>
      </c>
      <c r="N325" s="82"/>
      <c r="O325" s="82"/>
      <c r="P325" s="29">
        <v>128</v>
      </c>
      <c r="Q325" s="29">
        <f>G325+J325+M325+P325</f>
        <v>203</v>
      </c>
      <c r="R325" s="212"/>
      <c r="S325" s="212"/>
      <c r="Z325" s="209">
        <v>0</v>
      </c>
      <c r="AA325" s="130">
        <f>D325+Z325</f>
        <v>203</v>
      </c>
      <c r="IQ325" s="95"/>
      <c r="IR325" s="95"/>
      <c r="IS325" s="95"/>
      <c r="IT325" s="95"/>
      <c r="IU325" s="95"/>
    </row>
    <row r="326" spans="2:255" s="93" customFormat="1" ht="16.5" customHeight="1" hidden="1">
      <c r="B326" s="38"/>
      <c r="C326" s="43"/>
      <c r="D326" s="51"/>
      <c r="E326" s="82"/>
      <c r="F326" s="82"/>
      <c r="G326" s="29"/>
      <c r="H326" s="82"/>
      <c r="I326" s="82"/>
      <c r="J326" s="29"/>
      <c r="K326" s="82"/>
      <c r="L326" s="82"/>
      <c r="M326" s="29">
        <f>K326+L326</f>
        <v>0</v>
      </c>
      <c r="N326" s="82"/>
      <c r="O326" s="82"/>
      <c r="P326" s="29">
        <f>N326+O326</f>
        <v>0</v>
      </c>
      <c r="Q326" s="29"/>
      <c r="R326" s="212"/>
      <c r="S326" s="212"/>
      <c r="Z326" s="216"/>
      <c r="AA326" s="216"/>
      <c r="IQ326" s="95"/>
      <c r="IR326" s="95"/>
      <c r="IS326" s="95"/>
      <c r="IT326" s="95"/>
      <c r="IU326" s="95"/>
    </row>
    <row r="327" spans="2:255" s="93" customFormat="1" ht="16.5" customHeight="1" hidden="1">
      <c r="B327" s="39"/>
      <c r="C327" s="107"/>
      <c r="D327" s="109">
        <f>D328+D329+D330</f>
        <v>1271</v>
      </c>
      <c r="E327" s="101">
        <v>0</v>
      </c>
      <c r="F327" s="101">
        <f aca="true" t="shared" si="91" ref="F327:P327">F328+F329+F330</f>
        <v>0</v>
      </c>
      <c r="G327" s="101">
        <f t="shared" si="91"/>
        <v>469</v>
      </c>
      <c r="H327" s="101">
        <f t="shared" si="91"/>
        <v>200</v>
      </c>
      <c r="I327" s="101">
        <f t="shared" si="91"/>
        <v>0</v>
      </c>
      <c r="J327" s="101">
        <f t="shared" si="91"/>
        <v>0</v>
      </c>
      <c r="K327" s="101">
        <f t="shared" si="91"/>
        <v>126</v>
      </c>
      <c r="L327" s="101">
        <f t="shared" si="91"/>
        <v>0</v>
      </c>
      <c r="M327" s="101">
        <f t="shared" si="91"/>
        <v>0</v>
      </c>
      <c r="N327" s="101">
        <f t="shared" si="91"/>
        <v>278</v>
      </c>
      <c r="O327" s="101">
        <f t="shared" si="91"/>
        <v>0</v>
      </c>
      <c r="P327" s="101">
        <f t="shared" si="91"/>
        <v>802</v>
      </c>
      <c r="Q327" s="101">
        <f>Q328+Q330+Q329</f>
        <v>597</v>
      </c>
      <c r="R327" s="212"/>
      <c r="S327" s="212"/>
      <c r="Z327" s="216"/>
      <c r="AA327" s="216"/>
      <c r="IQ327" s="95"/>
      <c r="IR327" s="95"/>
      <c r="IS327" s="95"/>
      <c r="IT327" s="95"/>
      <c r="IU327" s="95"/>
    </row>
    <row r="328" spans="2:255" s="93" customFormat="1" ht="16.5" customHeight="1" hidden="1">
      <c r="B328" s="38" t="s">
        <v>68</v>
      </c>
      <c r="C328" s="105" t="s">
        <v>81</v>
      </c>
      <c r="D328" s="51">
        <f>G328+J328+M328+P328</f>
        <v>1068</v>
      </c>
      <c r="E328" s="82">
        <f aca="true" t="shared" si="92" ref="E328:K328">E323</f>
        <v>5</v>
      </c>
      <c r="F328" s="82">
        <f t="shared" si="92"/>
        <v>0</v>
      </c>
      <c r="G328" s="82">
        <f t="shared" si="92"/>
        <v>394</v>
      </c>
      <c r="H328" s="82">
        <f t="shared" si="92"/>
        <v>-5</v>
      </c>
      <c r="I328" s="82">
        <f t="shared" si="92"/>
        <v>0</v>
      </c>
      <c r="J328" s="82">
        <f t="shared" si="92"/>
        <v>0</v>
      </c>
      <c r="K328" s="82">
        <f t="shared" si="92"/>
        <v>0</v>
      </c>
      <c r="L328" s="82">
        <v>0</v>
      </c>
      <c r="M328" s="82">
        <v>0</v>
      </c>
      <c r="N328" s="82">
        <f>N323</f>
        <v>278</v>
      </c>
      <c r="O328" s="82">
        <f>O323</f>
        <v>0</v>
      </c>
      <c r="P328" s="82">
        <f>P323</f>
        <v>674</v>
      </c>
      <c r="Q328" s="82">
        <f>G328+J328+M328</f>
        <v>394</v>
      </c>
      <c r="R328" s="212"/>
      <c r="S328" s="212"/>
      <c r="Z328" s="216"/>
      <c r="AA328" s="216"/>
      <c r="IQ328" s="95"/>
      <c r="IR328" s="95"/>
      <c r="IS328" s="95"/>
      <c r="IT328" s="95"/>
      <c r="IU328" s="95"/>
    </row>
    <row r="329" spans="2:255" s="93" customFormat="1" ht="16.5" customHeight="1" hidden="1">
      <c r="B329" s="38" t="s">
        <v>69</v>
      </c>
      <c r="C329" s="105" t="s">
        <v>95</v>
      </c>
      <c r="D329" s="51">
        <f>G329+J329+M329+P329</f>
        <v>0</v>
      </c>
      <c r="E329" s="82"/>
      <c r="F329" s="82"/>
      <c r="G329" s="82">
        <v>0</v>
      </c>
      <c r="H329" s="82">
        <v>173</v>
      </c>
      <c r="I329" s="82">
        <v>0</v>
      </c>
      <c r="J329" s="82">
        <v>0</v>
      </c>
      <c r="K329" s="82">
        <v>106</v>
      </c>
      <c r="L329" s="82">
        <v>0</v>
      </c>
      <c r="M329" s="82">
        <v>0</v>
      </c>
      <c r="N329" s="82"/>
      <c r="O329" s="82"/>
      <c r="P329" s="82">
        <v>0</v>
      </c>
      <c r="Q329" s="82">
        <f>G329+J329+M329</f>
        <v>0</v>
      </c>
      <c r="R329" s="212"/>
      <c r="S329" s="212"/>
      <c r="Z329" s="216"/>
      <c r="AA329" s="216"/>
      <c r="IQ329" s="95"/>
      <c r="IR329" s="95"/>
      <c r="IS329" s="95"/>
      <c r="IT329" s="95"/>
      <c r="IU329" s="95"/>
    </row>
    <row r="330" spans="2:255" s="93" customFormat="1" ht="16.5" customHeight="1" hidden="1">
      <c r="B330" s="38" t="s">
        <v>70</v>
      </c>
      <c r="C330" s="105" t="s">
        <v>82</v>
      </c>
      <c r="D330" s="51">
        <f>G330+J330+M330+P330</f>
        <v>203</v>
      </c>
      <c r="E330" s="82">
        <f aca="true" t="shared" si="93" ref="E330:Q330">E325</f>
        <v>1</v>
      </c>
      <c r="F330" s="82">
        <f t="shared" si="93"/>
        <v>0</v>
      </c>
      <c r="G330" s="82">
        <f t="shared" si="93"/>
        <v>75</v>
      </c>
      <c r="H330" s="82">
        <f t="shared" si="93"/>
        <v>32</v>
      </c>
      <c r="I330" s="82">
        <f t="shared" si="93"/>
        <v>0</v>
      </c>
      <c r="J330" s="82">
        <f t="shared" si="93"/>
        <v>0</v>
      </c>
      <c r="K330" s="82">
        <f t="shared" si="93"/>
        <v>20</v>
      </c>
      <c r="L330" s="82">
        <f t="shared" si="93"/>
        <v>0</v>
      </c>
      <c r="M330" s="82">
        <f t="shared" si="93"/>
        <v>0</v>
      </c>
      <c r="N330" s="82">
        <f t="shared" si="93"/>
        <v>0</v>
      </c>
      <c r="O330" s="82">
        <f t="shared" si="93"/>
        <v>0</v>
      </c>
      <c r="P330" s="82">
        <f t="shared" si="93"/>
        <v>128</v>
      </c>
      <c r="Q330" s="82">
        <f t="shared" si="93"/>
        <v>203</v>
      </c>
      <c r="R330" s="212"/>
      <c r="S330" s="212"/>
      <c r="Z330" s="216"/>
      <c r="AA330" s="216"/>
      <c r="IQ330" s="95"/>
      <c r="IR330" s="95"/>
      <c r="IS330" s="95"/>
      <c r="IT330" s="95"/>
      <c r="IU330" s="95"/>
    </row>
    <row r="331" spans="1:255" s="93" customFormat="1" ht="32.25" customHeight="1">
      <c r="A331" s="93">
        <v>34</v>
      </c>
      <c r="B331" s="38" t="s">
        <v>60</v>
      </c>
      <c r="C331" s="108" t="s">
        <v>96</v>
      </c>
      <c r="D331" s="41">
        <f>D332+D333+D334</f>
        <v>1500</v>
      </c>
      <c r="E331" s="41"/>
      <c r="F331" s="41"/>
      <c r="G331" s="41">
        <f>G332+G333+G334</f>
        <v>500</v>
      </c>
      <c r="H331" s="41"/>
      <c r="I331" s="41"/>
      <c r="J331" s="41">
        <f>J332+J333+J334</f>
        <v>500</v>
      </c>
      <c r="K331" s="41"/>
      <c r="L331" s="41"/>
      <c r="M331" s="41">
        <f>M332+M333+M334</f>
        <v>0</v>
      </c>
      <c r="N331" s="41"/>
      <c r="O331" s="41"/>
      <c r="P331" s="41">
        <f>P332+P333+P334</f>
        <v>500</v>
      </c>
      <c r="Q331" s="82"/>
      <c r="R331" s="212"/>
      <c r="S331" s="212"/>
      <c r="Z331" s="233">
        <v>0</v>
      </c>
      <c r="AA331" s="226">
        <f>D331+Z331</f>
        <v>1500</v>
      </c>
      <c r="IQ331" s="95"/>
      <c r="IR331" s="95"/>
      <c r="IS331" s="95"/>
      <c r="IT331" s="95"/>
      <c r="IU331" s="95"/>
    </row>
    <row r="332" spans="2:255" s="93" customFormat="1" ht="16.5" customHeight="1">
      <c r="B332" s="38" t="s">
        <v>35</v>
      </c>
      <c r="C332" s="105"/>
      <c r="D332" s="82">
        <f>G332+J332+M332+P332</f>
        <v>225</v>
      </c>
      <c r="E332" s="82"/>
      <c r="F332" s="82"/>
      <c r="G332" s="82">
        <v>75</v>
      </c>
      <c r="H332" s="82"/>
      <c r="I332" s="82"/>
      <c r="J332" s="82">
        <v>75</v>
      </c>
      <c r="K332" s="82"/>
      <c r="L332" s="82"/>
      <c r="M332" s="82"/>
      <c r="N332" s="82"/>
      <c r="O332" s="82"/>
      <c r="P332" s="82">
        <v>75</v>
      </c>
      <c r="Q332" s="82"/>
      <c r="R332" s="212"/>
      <c r="S332" s="212"/>
      <c r="Z332" s="209">
        <v>0</v>
      </c>
      <c r="AA332" s="130">
        <f>D332+Z332</f>
        <v>225</v>
      </c>
      <c r="IQ332" s="95"/>
      <c r="IR332" s="95"/>
      <c r="IS332" s="95"/>
      <c r="IT332" s="95"/>
      <c r="IU332" s="95"/>
    </row>
    <row r="333" spans="2:255" s="93" customFormat="1" ht="16.5" customHeight="1">
      <c r="B333" s="38" t="s">
        <v>36</v>
      </c>
      <c r="C333" s="105"/>
      <c r="D333" s="82">
        <f>G333+J333+M333+P333</f>
        <v>1275</v>
      </c>
      <c r="E333" s="82"/>
      <c r="F333" s="82"/>
      <c r="G333" s="82">
        <v>425</v>
      </c>
      <c r="H333" s="82"/>
      <c r="I333" s="82"/>
      <c r="J333" s="82">
        <v>425</v>
      </c>
      <c r="K333" s="82"/>
      <c r="L333" s="82"/>
      <c r="M333" s="82"/>
      <c r="N333" s="82"/>
      <c r="O333" s="82"/>
      <c r="P333" s="82">
        <v>425</v>
      </c>
      <c r="Q333" s="82"/>
      <c r="R333" s="212"/>
      <c r="S333" s="212"/>
      <c r="Z333" s="209">
        <v>0</v>
      </c>
      <c r="AA333" s="130">
        <f>D333+Z333</f>
        <v>1275</v>
      </c>
      <c r="IQ333" s="95"/>
      <c r="IR333" s="95"/>
      <c r="IS333" s="95"/>
      <c r="IT333" s="95"/>
      <c r="IU333" s="95"/>
    </row>
    <row r="334" spans="2:255" s="93" customFormat="1" ht="16.5" customHeight="1">
      <c r="B334" s="38" t="s">
        <v>37</v>
      </c>
      <c r="C334" s="105"/>
      <c r="D334" s="82">
        <f>G334+J334+M334+P334</f>
        <v>0</v>
      </c>
      <c r="E334" s="82"/>
      <c r="F334" s="82"/>
      <c r="G334" s="82"/>
      <c r="H334" s="82"/>
      <c r="I334" s="82"/>
      <c r="J334" s="82"/>
      <c r="K334" s="82"/>
      <c r="L334" s="82"/>
      <c r="M334" s="82"/>
      <c r="N334" s="82"/>
      <c r="O334" s="82"/>
      <c r="P334" s="82"/>
      <c r="Q334" s="82"/>
      <c r="R334" s="212"/>
      <c r="S334" s="212"/>
      <c r="Z334" s="209">
        <v>0</v>
      </c>
      <c r="AA334" s="130">
        <f>D334+Z334</f>
        <v>0</v>
      </c>
      <c r="IQ334" s="95"/>
      <c r="IR334" s="95"/>
      <c r="IS334" s="95"/>
      <c r="IT334" s="95"/>
      <c r="IU334" s="95"/>
    </row>
    <row r="335" spans="2:255" s="93" customFormat="1" ht="16.5" customHeight="1" hidden="1">
      <c r="B335" s="38"/>
      <c r="C335" s="105"/>
      <c r="D335" s="82"/>
      <c r="E335" s="82"/>
      <c r="F335" s="82"/>
      <c r="G335" s="82"/>
      <c r="H335" s="82"/>
      <c r="I335" s="82"/>
      <c r="J335" s="82"/>
      <c r="K335" s="82"/>
      <c r="L335" s="82"/>
      <c r="M335" s="82"/>
      <c r="N335" s="82"/>
      <c r="O335" s="82"/>
      <c r="P335" s="82"/>
      <c r="Q335" s="82"/>
      <c r="R335" s="212"/>
      <c r="S335" s="212"/>
      <c r="Z335" s="216"/>
      <c r="AA335" s="216"/>
      <c r="IQ335" s="95"/>
      <c r="IR335" s="95"/>
      <c r="IS335" s="95"/>
      <c r="IT335" s="95"/>
      <c r="IU335" s="95"/>
    </row>
    <row r="336" spans="2:255" s="93" customFormat="1" ht="16.5" customHeight="1" hidden="1">
      <c r="B336" s="38"/>
      <c r="C336" s="105"/>
      <c r="D336" s="101">
        <f>D337+D338+D339+D340</f>
        <v>1500</v>
      </c>
      <c r="E336" s="101">
        <v>0</v>
      </c>
      <c r="F336" s="102">
        <f>F337+F338+F339</f>
        <v>0</v>
      </c>
      <c r="G336" s="101">
        <f aca="true" t="shared" si="94" ref="G336:P336">G337+G338+G339+G340</f>
        <v>500</v>
      </c>
      <c r="H336" s="101">
        <f t="shared" si="94"/>
        <v>0</v>
      </c>
      <c r="I336" s="101">
        <f t="shared" si="94"/>
        <v>0</v>
      </c>
      <c r="J336" s="101">
        <f t="shared" si="94"/>
        <v>500</v>
      </c>
      <c r="K336" s="101">
        <f t="shared" si="94"/>
        <v>0</v>
      </c>
      <c r="L336" s="101">
        <f t="shared" si="94"/>
        <v>0</v>
      </c>
      <c r="M336" s="101">
        <f t="shared" si="94"/>
        <v>0</v>
      </c>
      <c r="N336" s="101">
        <f t="shared" si="94"/>
        <v>0</v>
      </c>
      <c r="O336" s="101">
        <f t="shared" si="94"/>
        <v>0</v>
      </c>
      <c r="P336" s="101">
        <f t="shared" si="94"/>
        <v>500</v>
      </c>
      <c r="Q336" s="82"/>
      <c r="R336" s="212"/>
      <c r="S336" s="212"/>
      <c r="Z336" s="216"/>
      <c r="AA336" s="216"/>
      <c r="IQ336" s="95"/>
      <c r="IR336" s="95"/>
      <c r="IS336" s="95"/>
      <c r="IT336" s="95"/>
      <c r="IU336" s="95"/>
    </row>
    <row r="337" spans="2:255" s="93" customFormat="1" ht="16.5" customHeight="1" hidden="1">
      <c r="B337" s="38" t="s">
        <v>38</v>
      </c>
      <c r="C337" s="105"/>
      <c r="D337" s="82">
        <f>G337+J337+M337+P337</f>
        <v>195</v>
      </c>
      <c r="E337" s="82"/>
      <c r="F337" s="82"/>
      <c r="G337" s="82">
        <v>65</v>
      </c>
      <c r="H337" s="82"/>
      <c r="I337" s="82"/>
      <c r="J337" s="82">
        <v>65</v>
      </c>
      <c r="K337" s="82"/>
      <c r="L337" s="82"/>
      <c r="M337" s="82"/>
      <c r="N337" s="82"/>
      <c r="O337" s="82"/>
      <c r="P337" s="82">
        <v>65</v>
      </c>
      <c r="Q337" s="82"/>
      <c r="R337" s="212"/>
      <c r="S337" s="212"/>
      <c r="Z337" s="216"/>
      <c r="AA337" s="216"/>
      <c r="IQ337" s="95"/>
      <c r="IR337" s="95"/>
      <c r="IS337" s="95"/>
      <c r="IT337" s="95"/>
      <c r="IU337" s="95"/>
    </row>
    <row r="338" spans="2:255" s="93" customFormat="1" ht="16.5" customHeight="1" hidden="1">
      <c r="B338" s="38" t="s">
        <v>39</v>
      </c>
      <c r="C338" s="105"/>
      <c r="D338" s="82">
        <f>G338+J338+M338+P338</f>
        <v>1275</v>
      </c>
      <c r="E338" s="82"/>
      <c r="F338" s="82"/>
      <c r="G338" s="82">
        <v>425</v>
      </c>
      <c r="H338" s="82"/>
      <c r="I338" s="82"/>
      <c r="J338" s="82">
        <v>425</v>
      </c>
      <c r="K338" s="82"/>
      <c r="L338" s="82"/>
      <c r="M338" s="82"/>
      <c r="N338" s="82"/>
      <c r="O338" s="82"/>
      <c r="P338" s="82">
        <v>425</v>
      </c>
      <c r="Q338" s="82"/>
      <c r="R338" s="212"/>
      <c r="S338" s="212"/>
      <c r="Z338" s="216"/>
      <c r="AA338" s="216"/>
      <c r="IQ338" s="95"/>
      <c r="IR338" s="95"/>
      <c r="IS338" s="95"/>
      <c r="IT338" s="95"/>
      <c r="IU338" s="95"/>
    </row>
    <row r="339" spans="2:255" s="93" customFormat="1" ht="16.5" customHeight="1" hidden="1">
      <c r="B339" s="38" t="s">
        <v>97</v>
      </c>
      <c r="C339" s="105"/>
      <c r="D339" s="82">
        <f>G339+J339+M339+P339</f>
        <v>0</v>
      </c>
      <c r="E339" s="82"/>
      <c r="F339" s="82"/>
      <c r="G339" s="82"/>
      <c r="H339" s="82"/>
      <c r="I339" s="82"/>
      <c r="J339" s="82"/>
      <c r="K339" s="82"/>
      <c r="L339" s="82"/>
      <c r="M339" s="82"/>
      <c r="N339" s="82"/>
      <c r="O339" s="82"/>
      <c r="P339" s="82"/>
      <c r="Q339" s="82"/>
      <c r="R339" s="212"/>
      <c r="S339" s="212"/>
      <c r="Z339" s="216"/>
      <c r="AA339" s="216"/>
      <c r="IQ339" s="95"/>
      <c r="IR339" s="95"/>
      <c r="IS339" s="95"/>
      <c r="IT339" s="95"/>
      <c r="IU339" s="95"/>
    </row>
    <row r="340" spans="2:255" s="93" customFormat="1" ht="24" customHeight="1" hidden="1">
      <c r="B340" s="38" t="s">
        <v>41</v>
      </c>
      <c r="C340" s="105"/>
      <c r="D340" s="82">
        <f>G340+J340+M340+P340</f>
        <v>30</v>
      </c>
      <c r="E340" s="82"/>
      <c r="F340" s="82"/>
      <c r="G340" s="82">
        <v>10</v>
      </c>
      <c r="H340" s="82"/>
      <c r="I340" s="82"/>
      <c r="J340" s="82">
        <v>10</v>
      </c>
      <c r="K340" s="82"/>
      <c r="L340" s="82"/>
      <c r="M340" s="82"/>
      <c r="N340" s="82"/>
      <c r="O340" s="82"/>
      <c r="P340" s="82">
        <v>10</v>
      </c>
      <c r="Q340" s="82"/>
      <c r="R340" s="212"/>
      <c r="S340" s="212"/>
      <c r="Z340" s="216"/>
      <c r="AA340" s="216"/>
      <c r="IQ340" s="95"/>
      <c r="IR340" s="95"/>
      <c r="IS340" s="95"/>
      <c r="IT340" s="95"/>
      <c r="IU340" s="95"/>
    </row>
    <row r="341" spans="2:255" s="87" customFormat="1" ht="18.75" customHeight="1">
      <c r="B341" s="247" t="s">
        <v>98</v>
      </c>
      <c r="C341" s="247"/>
      <c r="D341" s="29">
        <f>D11+D20+D29+D39+D49+D59+D69+D79+D89+D99+D110+D121+D132+D142+D151+D160+D169+D178+D187+D196+D205+D214+D223+D232+D241+D250+D259+D268+D277+D286+D295+D304+D313+D322+D331</f>
        <v>138409</v>
      </c>
      <c r="E341" s="29">
        <f>E29+E39+E49+E59+E69+E79+E89+E99+E110+E121+E20+E11+E214+E241+E259+E268+E313+E304+E295+E232+E277+E286+E322+E250+E223+E205+E196+E187+E178+E169+E160+E151+E142+E132</f>
        <v>26739</v>
      </c>
      <c r="F341" s="29">
        <f>F29+F39+F49+F59+F69+F79+F89+F99+F110+F121+F20+F11+F214+F241+F259+F268+F313+F304+F295+F232+F277+F286+F322+F250+F223+F205+F196+F187+F178+F169+F160+F151+F142+F132</f>
        <v>0</v>
      </c>
      <c r="G341" s="29">
        <f aca="true" t="shared" si="95" ref="G341:P341">G11+G20+G29+G39+G49+G59+G69+G79+G89+G99+G110+G121+G132+G142+G151+G160+G169+G178+G187+G196+G205+G214+G223+G232+G241+G250+G259+G268+G277+G286+G295+G304+G313+G322+G331</f>
        <v>61562</v>
      </c>
      <c r="H341" s="29">
        <f t="shared" si="95"/>
        <v>40722</v>
      </c>
      <c r="I341" s="29">
        <f t="shared" si="95"/>
        <v>0</v>
      </c>
      <c r="J341" s="29">
        <f t="shared" si="95"/>
        <v>43559</v>
      </c>
      <c r="K341" s="29">
        <f t="shared" si="95"/>
        <v>10951</v>
      </c>
      <c r="L341" s="29">
        <f t="shared" si="95"/>
        <v>0</v>
      </c>
      <c r="M341" s="29">
        <f t="shared" si="95"/>
        <v>6797</v>
      </c>
      <c r="N341" s="29">
        <f t="shared" si="95"/>
        <v>6593</v>
      </c>
      <c r="O341" s="29">
        <f t="shared" si="95"/>
        <v>400</v>
      </c>
      <c r="P341" s="29">
        <f t="shared" si="95"/>
        <v>26491</v>
      </c>
      <c r="Q341" s="29" t="e">
        <f>Q29+Q39+Q49+Q59+Q69+Q79+Q89+Q99+Q110+#REF!+#REF!+Q121+Q20+Q11+Q214+#REF!+#REF!+Q241+Q259+Q268+Q313+Q304+Q295+Q232+Q277+Q286+Q322+Q250+Q223</f>
        <v>#REF!</v>
      </c>
      <c r="R341" s="211"/>
      <c r="S341" s="211"/>
      <c r="Z341" s="223">
        <v>0</v>
      </c>
      <c r="AA341" s="226">
        <f>D341+Z341</f>
        <v>138409</v>
      </c>
      <c r="IQ341" s="90"/>
      <c r="IR341" s="90"/>
      <c r="IS341" s="90"/>
      <c r="IT341" s="90"/>
      <c r="IU341" s="90"/>
    </row>
    <row r="342" spans="2:255" s="77" customFormat="1" ht="16.5" customHeight="1">
      <c r="B342" s="253" t="s">
        <v>99</v>
      </c>
      <c r="C342" s="253"/>
      <c r="D342" s="253"/>
      <c r="E342" s="110"/>
      <c r="F342" s="111"/>
      <c r="G342" s="29">
        <f>E342+F342</f>
        <v>0</v>
      </c>
      <c r="H342" s="110"/>
      <c r="I342" s="111"/>
      <c r="J342" s="29">
        <f>H342+I342</f>
        <v>0</v>
      </c>
      <c r="K342" s="101"/>
      <c r="L342" s="102"/>
      <c r="M342" s="29">
        <f>K342+L342</f>
        <v>0</v>
      </c>
      <c r="N342" s="101"/>
      <c r="O342" s="102"/>
      <c r="P342" s="29">
        <f>N342+O342</f>
        <v>0</v>
      </c>
      <c r="Q342" s="29">
        <f aca="true" t="shared" si="96" ref="Q342:Q366">G342+J342+M342+P342</f>
        <v>0</v>
      </c>
      <c r="R342" s="210"/>
      <c r="S342" s="210"/>
      <c r="Z342" s="209"/>
      <c r="AA342" s="209"/>
      <c r="IQ342" s="80"/>
      <c r="IR342" s="80"/>
      <c r="IS342" s="80"/>
      <c r="IT342" s="80"/>
      <c r="IU342" s="80"/>
    </row>
    <row r="343" spans="1:255" s="77" customFormat="1" ht="45.75" customHeight="1">
      <c r="A343" s="77">
        <v>35</v>
      </c>
      <c r="B343" s="78" t="s">
        <v>100</v>
      </c>
      <c r="C343" s="78" t="s">
        <v>101</v>
      </c>
      <c r="D343" s="41">
        <f>D344+D345+D346</f>
        <v>15802</v>
      </c>
      <c r="E343" s="29">
        <f>E344+E345+E346</f>
        <v>2814</v>
      </c>
      <c r="F343" s="30"/>
      <c r="G343" s="29">
        <f>G344+G345+G346</f>
        <v>15802</v>
      </c>
      <c r="H343" s="29">
        <f>H344+H345+H346</f>
        <v>4794</v>
      </c>
      <c r="I343" s="30"/>
      <c r="J343" s="29">
        <f>J344+J345+J346</f>
        <v>0</v>
      </c>
      <c r="K343" s="29">
        <f>K344+K345+K346</f>
        <v>0</v>
      </c>
      <c r="L343" s="30"/>
      <c r="M343" s="29">
        <f>K343+L343</f>
        <v>0</v>
      </c>
      <c r="N343" s="41">
        <f>N344+N345+N346</f>
        <v>0</v>
      </c>
      <c r="O343" s="42"/>
      <c r="P343" s="29">
        <f>N343+O343</f>
        <v>0</v>
      </c>
      <c r="Q343" s="29">
        <f t="shared" si="96"/>
        <v>15802</v>
      </c>
      <c r="R343" s="210"/>
      <c r="S343" s="210"/>
      <c r="Z343" s="233">
        <v>0</v>
      </c>
      <c r="AA343" s="226">
        <f>D343+Z343</f>
        <v>15802</v>
      </c>
      <c r="IQ343" s="80"/>
      <c r="IR343" s="80"/>
      <c r="IS343" s="80"/>
      <c r="IT343" s="80"/>
      <c r="IU343" s="80"/>
    </row>
    <row r="344" spans="2:255" s="77" customFormat="1" ht="16.5" customHeight="1">
      <c r="B344" s="43" t="s">
        <v>35</v>
      </c>
      <c r="C344" s="44"/>
      <c r="D344" s="45">
        <f>G344+J344+M344+P344</f>
        <v>1464</v>
      </c>
      <c r="E344" s="33">
        <v>272</v>
      </c>
      <c r="F344" s="34"/>
      <c r="G344" s="33">
        <v>1464</v>
      </c>
      <c r="H344" s="33">
        <v>272</v>
      </c>
      <c r="I344" s="34"/>
      <c r="J344" s="33">
        <v>0</v>
      </c>
      <c r="K344" s="33">
        <v>0</v>
      </c>
      <c r="L344" s="34"/>
      <c r="M344" s="33">
        <f>K344+L344</f>
        <v>0</v>
      </c>
      <c r="N344" s="45">
        <v>0</v>
      </c>
      <c r="O344" s="53"/>
      <c r="P344" s="33">
        <f>N344+O344</f>
        <v>0</v>
      </c>
      <c r="Q344" s="29">
        <f t="shared" si="96"/>
        <v>1464</v>
      </c>
      <c r="R344" s="210"/>
      <c r="S344" s="210"/>
      <c r="Z344" s="209">
        <v>0</v>
      </c>
      <c r="AA344" s="130">
        <f>D344+Z344</f>
        <v>1464</v>
      </c>
      <c r="IQ344" s="80"/>
      <c r="IR344" s="80"/>
      <c r="IS344" s="80"/>
      <c r="IT344" s="80"/>
      <c r="IU344" s="80"/>
    </row>
    <row r="345" spans="2:255" s="77" customFormat="1" ht="16.5" customHeight="1">
      <c r="B345" s="38" t="s">
        <v>36</v>
      </c>
      <c r="C345" s="46"/>
      <c r="D345" s="45">
        <f>G345+J345+M345+P345</f>
        <v>8298</v>
      </c>
      <c r="E345" s="33">
        <v>1542</v>
      </c>
      <c r="F345" s="34"/>
      <c r="G345" s="33">
        <v>8298</v>
      </c>
      <c r="H345" s="33">
        <v>1542</v>
      </c>
      <c r="I345" s="34"/>
      <c r="J345" s="33">
        <v>0</v>
      </c>
      <c r="K345" s="33">
        <v>0</v>
      </c>
      <c r="L345" s="34"/>
      <c r="M345" s="33">
        <f>K345+L345</f>
        <v>0</v>
      </c>
      <c r="N345" s="45">
        <v>0</v>
      </c>
      <c r="O345" s="53"/>
      <c r="P345" s="33">
        <f>N345+O345</f>
        <v>0</v>
      </c>
      <c r="Q345" s="29">
        <f t="shared" si="96"/>
        <v>8298</v>
      </c>
      <c r="R345" s="210"/>
      <c r="S345" s="210"/>
      <c r="Z345" s="209">
        <v>0</v>
      </c>
      <c r="AA345" s="130">
        <f>D345+Z345</f>
        <v>8298</v>
      </c>
      <c r="IQ345" s="80"/>
      <c r="IR345" s="80"/>
      <c r="IS345" s="80"/>
      <c r="IT345" s="80"/>
      <c r="IU345" s="80"/>
    </row>
    <row r="346" spans="2:255" s="77" customFormat="1" ht="16.5" customHeight="1">
      <c r="B346" s="38" t="s">
        <v>37</v>
      </c>
      <c r="C346" s="47"/>
      <c r="D346" s="45">
        <f>G346+J346+M346+P346</f>
        <v>6040</v>
      </c>
      <c r="E346" s="33">
        <v>1000</v>
      </c>
      <c r="F346" s="34"/>
      <c r="G346" s="33">
        <v>6040</v>
      </c>
      <c r="H346" s="33">
        <v>2980</v>
      </c>
      <c r="I346" s="34"/>
      <c r="J346" s="33">
        <v>0</v>
      </c>
      <c r="K346" s="33">
        <v>0</v>
      </c>
      <c r="L346" s="34"/>
      <c r="M346" s="33">
        <f>K346+L346</f>
        <v>0</v>
      </c>
      <c r="N346" s="45">
        <v>0</v>
      </c>
      <c r="O346" s="53"/>
      <c r="P346" s="33">
        <f>N346+O346</f>
        <v>0</v>
      </c>
      <c r="Q346" s="29">
        <f t="shared" si="96"/>
        <v>6040</v>
      </c>
      <c r="R346" s="210"/>
      <c r="S346" s="210"/>
      <c r="Z346" s="209">
        <v>0</v>
      </c>
      <c r="AA346" s="130">
        <f>D346+Z346</f>
        <v>6040</v>
      </c>
      <c r="IQ346" s="80"/>
      <c r="IR346" s="80"/>
      <c r="IS346" s="80"/>
      <c r="IT346" s="80"/>
      <c r="IU346" s="80"/>
    </row>
    <row r="347" spans="2:255" s="77" customFormat="1" ht="16.5" customHeight="1" hidden="1">
      <c r="B347" s="38"/>
      <c r="C347" s="78"/>
      <c r="D347" s="45"/>
      <c r="E347" s="33"/>
      <c r="F347" s="34"/>
      <c r="G347" s="29"/>
      <c r="H347" s="33"/>
      <c r="I347" s="34"/>
      <c r="J347" s="29"/>
      <c r="K347" s="45"/>
      <c r="L347" s="53"/>
      <c r="M347" s="29"/>
      <c r="N347" s="45"/>
      <c r="O347" s="53"/>
      <c r="P347" s="29"/>
      <c r="Q347" s="29">
        <f t="shared" si="96"/>
        <v>0</v>
      </c>
      <c r="R347" s="210"/>
      <c r="S347" s="210"/>
      <c r="Z347" s="209"/>
      <c r="AA347" s="209"/>
      <c r="IQ347" s="80"/>
      <c r="IR347" s="80"/>
      <c r="IS347" s="80"/>
      <c r="IT347" s="80"/>
      <c r="IU347" s="80"/>
    </row>
    <row r="348" spans="2:255" s="77" customFormat="1" ht="16.5" customHeight="1" hidden="1">
      <c r="B348" s="39"/>
      <c r="C348" s="78"/>
      <c r="D348" s="41">
        <f>G348+J348+M348+P348</f>
        <v>15802</v>
      </c>
      <c r="E348" s="29">
        <f>E349+E350+E351+E352</f>
        <v>2814</v>
      </c>
      <c r="F348" s="30"/>
      <c r="G348" s="29">
        <f>G349+G350+G351+G352</f>
        <v>11631</v>
      </c>
      <c r="H348" s="29">
        <f>H349+H350+H351+H352</f>
        <v>4794</v>
      </c>
      <c r="I348" s="30"/>
      <c r="J348" s="29">
        <f>J349+J350+J351+J352</f>
        <v>4171</v>
      </c>
      <c r="K348" s="41">
        <f>K349+K350+K351+K352</f>
        <v>0</v>
      </c>
      <c r="L348" s="42"/>
      <c r="M348" s="29">
        <f>M349+M350+M351+M352</f>
        <v>0</v>
      </c>
      <c r="N348" s="41">
        <f>N349+N350+N351+N352</f>
        <v>0</v>
      </c>
      <c r="O348" s="42"/>
      <c r="P348" s="29">
        <f aca="true" t="shared" si="97" ref="P348:P357">N348+O348</f>
        <v>0</v>
      </c>
      <c r="Q348" s="29">
        <f t="shared" si="96"/>
        <v>15802</v>
      </c>
      <c r="R348" s="210"/>
      <c r="S348" s="210"/>
      <c r="Z348" s="209"/>
      <c r="AA348" s="209"/>
      <c r="IQ348" s="80"/>
      <c r="IR348" s="80"/>
      <c r="IS348" s="80"/>
      <c r="IT348" s="80"/>
      <c r="IU348" s="80"/>
    </row>
    <row r="349" spans="2:255" s="77" customFormat="1" ht="16.5" customHeight="1" hidden="1">
      <c r="B349" s="38" t="s">
        <v>38</v>
      </c>
      <c r="C349" s="78"/>
      <c r="D349" s="45">
        <f>G349+J349+M349+P349</f>
        <v>1822</v>
      </c>
      <c r="E349" s="33">
        <v>236</v>
      </c>
      <c r="F349" s="34"/>
      <c r="G349" s="33">
        <v>1269</v>
      </c>
      <c r="H349" s="33">
        <v>546</v>
      </c>
      <c r="I349" s="34"/>
      <c r="J349" s="33">
        <v>553</v>
      </c>
      <c r="K349" s="33">
        <v>0</v>
      </c>
      <c r="L349" s="34"/>
      <c r="M349" s="33">
        <v>0</v>
      </c>
      <c r="N349" s="33">
        <v>0</v>
      </c>
      <c r="O349" s="34"/>
      <c r="P349" s="33">
        <f t="shared" si="97"/>
        <v>0</v>
      </c>
      <c r="Q349" s="29">
        <f t="shared" si="96"/>
        <v>1822</v>
      </c>
      <c r="R349" s="210"/>
      <c r="S349" s="210"/>
      <c r="Z349" s="209"/>
      <c r="AA349" s="209"/>
      <c r="IQ349" s="80"/>
      <c r="IR349" s="80"/>
      <c r="IS349" s="80"/>
      <c r="IT349" s="80"/>
      <c r="IU349" s="80"/>
    </row>
    <row r="350" spans="2:255" s="77" customFormat="1" ht="16.5" customHeight="1" hidden="1">
      <c r="B350" s="38" t="s">
        <v>39</v>
      </c>
      <c r="C350" s="78"/>
      <c r="D350" s="45">
        <f>G350+J350+M350+P350</f>
        <v>8298</v>
      </c>
      <c r="E350" s="33">
        <v>1542</v>
      </c>
      <c r="F350" s="34"/>
      <c r="G350" s="33">
        <v>8298</v>
      </c>
      <c r="H350" s="33">
        <v>0</v>
      </c>
      <c r="I350" s="34"/>
      <c r="J350" s="33">
        <v>0</v>
      </c>
      <c r="K350" s="33">
        <v>0</v>
      </c>
      <c r="L350" s="34"/>
      <c r="M350" s="33">
        <f>K350+L350</f>
        <v>0</v>
      </c>
      <c r="N350" s="33">
        <v>0</v>
      </c>
      <c r="O350" s="34"/>
      <c r="P350" s="33">
        <f t="shared" si="97"/>
        <v>0</v>
      </c>
      <c r="Q350" s="29">
        <f t="shared" si="96"/>
        <v>8298</v>
      </c>
      <c r="R350" s="210"/>
      <c r="S350" s="210"/>
      <c r="Z350" s="209"/>
      <c r="AA350" s="209"/>
      <c r="IQ350" s="80"/>
      <c r="IR350" s="80"/>
      <c r="IS350" s="80"/>
      <c r="IT350" s="80"/>
      <c r="IU350" s="80"/>
    </row>
    <row r="351" spans="2:255" s="77" customFormat="1" ht="16.5" customHeight="1" hidden="1">
      <c r="B351" s="38" t="s">
        <v>40</v>
      </c>
      <c r="C351" s="78"/>
      <c r="D351" s="45">
        <f>G351+J351+M351+P351</f>
        <v>3618</v>
      </c>
      <c r="E351" s="33">
        <v>0</v>
      </c>
      <c r="F351" s="34"/>
      <c r="G351" s="33">
        <v>0</v>
      </c>
      <c r="H351" s="33">
        <v>3568</v>
      </c>
      <c r="I351" s="34"/>
      <c r="J351" s="33">
        <v>3618</v>
      </c>
      <c r="K351" s="33">
        <v>0</v>
      </c>
      <c r="L351" s="34"/>
      <c r="M351" s="33">
        <v>0</v>
      </c>
      <c r="N351" s="35">
        <v>0</v>
      </c>
      <c r="O351" s="36"/>
      <c r="P351" s="33">
        <f t="shared" si="97"/>
        <v>0</v>
      </c>
      <c r="Q351" s="29">
        <f t="shared" si="96"/>
        <v>3618</v>
      </c>
      <c r="R351" s="210"/>
      <c r="S351" s="210"/>
      <c r="Z351" s="209"/>
      <c r="AA351" s="209"/>
      <c r="IQ351" s="80"/>
      <c r="IR351" s="80"/>
      <c r="IS351" s="80"/>
      <c r="IT351" s="80"/>
      <c r="IU351" s="80"/>
    </row>
    <row r="352" spans="2:255" s="77" customFormat="1" ht="30.75" customHeight="1" hidden="1">
      <c r="B352" s="49" t="s">
        <v>41</v>
      </c>
      <c r="C352" s="78"/>
      <c r="D352" s="45">
        <f>G352+J352+M352+P352</f>
        <v>2064</v>
      </c>
      <c r="E352" s="45">
        <v>1036</v>
      </c>
      <c r="F352" s="53"/>
      <c r="G352" s="33">
        <v>2064</v>
      </c>
      <c r="H352" s="45">
        <v>680</v>
      </c>
      <c r="I352" s="53"/>
      <c r="J352" s="33">
        <v>0</v>
      </c>
      <c r="K352" s="45">
        <v>0</v>
      </c>
      <c r="L352" s="53"/>
      <c r="M352" s="33">
        <f aca="true" t="shared" si="98" ref="M352:M357">K352+L352</f>
        <v>0</v>
      </c>
      <c r="N352" s="45">
        <v>0</v>
      </c>
      <c r="O352" s="53"/>
      <c r="P352" s="33">
        <f t="shared" si="97"/>
        <v>0</v>
      </c>
      <c r="Q352" s="29">
        <f t="shared" si="96"/>
        <v>2064</v>
      </c>
      <c r="R352" s="210"/>
      <c r="S352" s="210"/>
      <c r="Z352" s="209"/>
      <c r="AA352" s="209"/>
      <c r="IQ352" s="80"/>
      <c r="IR352" s="80"/>
      <c r="IS352" s="80"/>
      <c r="IT352" s="80"/>
      <c r="IU352" s="80"/>
    </row>
    <row r="353" spans="1:255" s="77" customFormat="1" ht="45">
      <c r="A353" s="77">
        <v>36</v>
      </c>
      <c r="B353" s="78" t="s">
        <v>100</v>
      </c>
      <c r="C353" s="23" t="s">
        <v>102</v>
      </c>
      <c r="D353" s="41">
        <f>G353</f>
        <v>197</v>
      </c>
      <c r="E353" s="41">
        <f>SUM(E354:E356)</f>
        <v>1826</v>
      </c>
      <c r="F353" s="42"/>
      <c r="G353" s="33">
        <f>G354+G355+G356</f>
        <v>197</v>
      </c>
      <c r="H353" s="41">
        <f>SUM(H354:H356)</f>
        <v>0</v>
      </c>
      <c r="I353" s="42"/>
      <c r="J353" s="29">
        <f>H353+I353</f>
        <v>0</v>
      </c>
      <c r="K353" s="41">
        <f>SUM(K354:K356)</f>
        <v>0</v>
      </c>
      <c r="L353" s="42"/>
      <c r="M353" s="29">
        <f t="shared" si="98"/>
        <v>0</v>
      </c>
      <c r="N353" s="41">
        <f>N354+N355+N356</f>
        <v>0</v>
      </c>
      <c r="O353" s="42"/>
      <c r="P353" s="29">
        <f t="shared" si="97"/>
        <v>0</v>
      </c>
      <c r="Q353" s="29">
        <f t="shared" si="96"/>
        <v>197</v>
      </c>
      <c r="R353" s="210"/>
      <c r="S353" s="210"/>
      <c r="Z353" s="233">
        <v>0</v>
      </c>
      <c r="AA353" s="226">
        <f>D353+Z353</f>
        <v>197</v>
      </c>
      <c r="IQ353" s="80"/>
      <c r="IR353" s="80"/>
      <c r="IS353" s="80"/>
      <c r="IT353" s="80"/>
      <c r="IU353" s="80"/>
    </row>
    <row r="354" spans="2:255" s="77" customFormat="1" ht="16.5" customHeight="1">
      <c r="B354" s="43" t="s">
        <v>44</v>
      </c>
      <c r="C354" s="81"/>
      <c r="D354" s="82">
        <f>G354</f>
        <v>0</v>
      </c>
      <c r="E354" s="82">
        <v>496</v>
      </c>
      <c r="F354" s="83"/>
      <c r="G354" s="33">
        <v>0</v>
      </c>
      <c r="H354" s="33">
        <v>0</v>
      </c>
      <c r="I354" s="34"/>
      <c r="J354" s="29">
        <f>H354+I354</f>
        <v>0</v>
      </c>
      <c r="K354" s="33">
        <v>0</v>
      </c>
      <c r="L354" s="34"/>
      <c r="M354" s="29">
        <f t="shared" si="98"/>
        <v>0</v>
      </c>
      <c r="N354" s="33">
        <v>0</v>
      </c>
      <c r="O354" s="34"/>
      <c r="P354" s="29">
        <f t="shared" si="97"/>
        <v>0</v>
      </c>
      <c r="Q354" s="29">
        <f t="shared" si="96"/>
        <v>0</v>
      </c>
      <c r="R354" s="210"/>
      <c r="S354" s="210"/>
      <c r="Z354" s="209">
        <v>0</v>
      </c>
      <c r="AA354" s="130">
        <f>D354+Z354</f>
        <v>0</v>
      </c>
      <c r="IQ354" s="80"/>
      <c r="IR354" s="80"/>
      <c r="IS354" s="80"/>
      <c r="IT354" s="80"/>
      <c r="IU354" s="80"/>
    </row>
    <row r="355" spans="2:255" s="77" customFormat="1" ht="16.5" customHeight="1">
      <c r="B355" s="38" t="s">
        <v>45</v>
      </c>
      <c r="C355" s="85"/>
      <c r="D355" s="82">
        <f>G355</f>
        <v>0</v>
      </c>
      <c r="E355" s="82">
        <v>1156</v>
      </c>
      <c r="F355" s="83"/>
      <c r="G355" s="33">
        <v>0</v>
      </c>
      <c r="H355" s="33">
        <v>0</v>
      </c>
      <c r="I355" s="34"/>
      <c r="J355" s="29">
        <f>H355+I355</f>
        <v>0</v>
      </c>
      <c r="K355" s="33">
        <v>0</v>
      </c>
      <c r="L355" s="34"/>
      <c r="M355" s="29">
        <f t="shared" si="98"/>
        <v>0</v>
      </c>
      <c r="N355" s="33">
        <v>0</v>
      </c>
      <c r="O355" s="34"/>
      <c r="P355" s="29">
        <f t="shared" si="97"/>
        <v>0</v>
      </c>
      <c r="Q355" s="29">
        <f t="shared" si="96"/>
        <v>0</v>
      </c>
      <c r="R355" s="210"/>
      <c r="S355" s="210"/>
      <c r="Z355" s="209">
        <v>0</v>
      </c>
      <c r="AA355" s="130">
        <f>D355+Z355</f>
        <v>0</v>
      </c>
      <c r="IQ355" s="80"/>
      <c r="IR355" s="80"/>
      <c r="IS355" s="80"/>
      <c r="IT355" s="80"/>
      <c r="IU355" s="80"/>
    </row>
    <row r="356" spans="2:255" s="77" customFormat="1" ht="15.75" customHeight="1">
      <c r="B356" s="38" t="s">
        <v>46</v>
      </c>
      <c r="C356" s="86"/>
      <c r="D356" s="82">
        <f>G356</f>
        <v>197</v>
      </c>
      <c r="E356" s="82">
        <v>174</v>
      </c>
      <c r="F356" s="83"/>
      <c r="G356" s="33">
        <v>197</v>
      </c>
      <c r="H356" s="33">
        <v>0</v>
      </c>
      <c r="I356" s="34"/>
      <c r="J356" s="29">
        <f>H356+I356</f>
        <v>0</v>
      </c>
      <c r="K356" s="33">
        <v>0</v>
      </c>
      <c r="L356" s="34"/>
      <c r="M356" s="29">
        <f t="shared" si="98"/>
        <v>0</v>
      </c>
      <c r="N356" s="33">
        <v>0</v>
      </c>
      <c r="O356" s="34"/>
      <c r="P356" s="29">
        <f t="shared" si="97"/>
        <v>0</v>
      </c>
      <c r="Q356" s="29">
        <f t="shared" si="96"/>
        <v>197</v>
      </c>
      <c r="R356" s="210"/>
      <c r="S356" s="210"/>
      <c r="Z356" s="209">
        <v>0</v>
      </c>
      <c r="AA356" s="130">
        <f>D356+Z356</f>
        <v>197</v>
      </c>
      <c r="IQ356" s="80"/>
      <c r="IR356" s="80"/>
      <c r="IS356" s="80"/>
      <c r="IT356" s="80"/>
      <c r="IU356" s="80"/>
    </row>
    <row r="357" spans="2:255" s="77" customFormat="1" ht="18" customHeight="1" hidden="1">
      <c r="B357" s="38"/>
      <c r="C357" s="65"/>
      <c r="D357" s="82"/>
      <c r="E357" s="82"/>
      <c r="F357" s="83"/>
      <c r="G357" s="29">
        <f>E357+F357</f>
        <v>0</v>
      </c>
      <c r="H357" s="82"/>
      <c r="I357" s="83"/>
      <c r="J357" s="29">
        <f>H357+I357</f>
        <v>0</v>
      </c>
      <c r="K357" s="82"/>
      <c r="L357" s="83"/>
      <c r="M357" s="29">
        <f t="shared" si="98"/>
        <v>0</v>
      </c>
      <c r="N357" s="82"/>
      <c r="O357" s="83"/>
      <c r="P357" s="29">
        <f t="shared" si="97"/>
        <v>0</v>
      </c>
      <c r="Q357" s="29">
        <f t="shared" si="96"/>
        <v>0</v>
      </c>
      <c r="R357" s="210"/>
      <c r="S357" s="210"/>
      <c r="Z357" s="209"/>
      <c r="AA357" s="209"/>
      <c r="IQ357" s="80"/>
      <c r="IR357" s="80"/>
      <c r="IS357" s="80"/>
      <c r="IT357" s="80"/>
      <c r="IU357" s="80"/>
    </row>
    <row r="358" spans="2:255" s="87" customFormat="1" ht="20.25" customHeight="1" hidden="1">
      <c r="B358" s="39"/>
      <c r="C358" s="28"/>
      <c r="D358" s="41">
        <f>D359+D360+D361+D362</f>
        <v>197</v>
      </c>
      <c r="E358" s="41">
        <f>E359+E360+E361+E362</f>
        <v>5931.96</v>
      </c>
      <c r="F358" s="42"/>
      <c r="G358" s="41">
        <f>G359+G360+G361+G362</f>
        <v>197</v>
      </c>
      <c r="H358" s="41">
        <f>H359+H360+H361+H362</f>
        <v>0</v>
      </c>
      <c r="I358" s="42"/>
      <c r="J358" s="41">
        <f aca="true" t="shared" si="99" ref="J358:P358">J359+J360+J361+J362</f>
        <v>0</v>
      </c>
      <c r="K358" s="41">
        <f t="shared" si="99"/>
        <v>0</v>
      </c>
      <c r="L358" s="41">
        <f t="shared" si="99"/>
        <v>0</v>
      </c>
      <c r="M358" s="41">
        <f t="shared" si="99"/>
        <v>0</v>
      </c>
      <c r="N358" s="41">
        <f t="shared" si="99"/>
        <v>0</v>
      </c>
      <c r="O358" s="41">
        <f t="shared" si="99"/>
        <v>0</v>
      </c>
      <c r="P358" s="41">
        <f t="shared" si="99"/>
        <v>0</v>
      </c>
      <c r="Q358" s="29">
        <f t="shared" si="96"/>
        <v>197</v>
      </c>
      <c r="R358" s="211"/>
      <c r="S358" s="211"/>
      <c r="Z358" s="223"/>
      <c r="AA358" s="223"/>
      <c r="IQ358" s="90"/>
      <c r="IR358" s="90"/>
      <c r="IS358" s="90"/>
      <c r="IT358" s="90"/>
      <c r="IU358" s="90"/>
    </row>
    <row r="359" spans="2:255" s="77" customFormat="1" ht="18.75" customHeight="1" hidden="1">
      <c r="B359" s="38" t="s">
        <v>47</v>
      </c>
      <c r="C359" s="65"/>
      <c r="D359" s="45">
        <f>G359</f>
        <v>15</v>
      </c>
      <c r="E359" s="45">
        <f>E354*0.28</f>
        <v>138.88000000000002</v>
      </c>
      <c r="F359" s="53"/>
      <c r="G359" s="33">
        <v>15</v>
      </c>
      <c r="H359" s="33">
        <v>0</v>
      </c>
      <c r="I359" s="34"/>
      <c r="J359" s="33">
        <f>H359+I359</f>
        <v>0</v>
      </c>
      <c r="K359" s="33">
        <v>0</v>
      </c>
      <c r="L359" s="34"/>
      <c r="M359" s="29">
        <f>K359+L359</f>
        <v>0</v>
      </c>
      <c r="N359" s="33">
        <v>0</v>
      </c>
      <c r="O359" s="34"/>
      <c r="P359" s="29">
        <f>N359+O359</f>
        <v>0</v>
      </c>
      <c r="Q359" s="29">
        <f t="shared" si="96"/>
        <v>15</v>
      </c>
      <c r="R359" s="210"/>
      <c r="S359" s="210"/>
      <c r="Z359" s="209"/>
      <c r="AA359" s="209"/>
      <c r="IQ359" s="80"/>
      <c r="IR359" s="80"/>
      <c r="IS359" s="80"/>
      <c r="IT359" s="80"/>
      <c r="IU359" s="80"/>
    </row>
    <row r="360" spans="2:255" s="77" customFormat="1" ht="15" customHeight="1" hidden="1">
      <c r="B360" s="38" t="s">
        <v>48</v>
      </c>
      <c r="C360" s="65"/>
      <c r="D360" s="45"/>
      <c r="E360" s="45">
        <f>E355</f>
        <v>1156</v>
      </c>
      <c r="F360" s="53"/>
      <c r="G360" s="33"/>
      <c r="H360" s="33">
        <v>0</v>
      </c>
      <c r="I360" s="34"/>
      <c r="J360" s="33">
        <f>H360+I360</f>
        <v>0</v>
      </c>
      <c r="K360" s="33">
        <v>0</v>
      </c>
      <c r="L360" s="34"/>
      <c r="M360" s="29">
        <f>K360+L360</f>
        <v>0</v>
      </c>
      <c r="N360" s="33">
        <v>0</v>
      </c>
      <c r="O360" s="34"/>
      <c r="P360" s="29">
        <f>N360+O360</f>
        <v>0</v>
      </c>
      <c r="Q360" s="29">
        <f t="shared" si="96"/>
        <v>0</v>
      </c>
      <c r="R360" s="210"/>
      <c r="S360" s="210"/>
      <c r="Z360" s="209"/>
      <c r="AA360" s="209"/>
      <c r="IQ360" s="80"/>
      <c r="IR360" s="80"/>
      <c r="IS360" s="80"/>
      <c r="IT360" s="80"/>
      <c r="IU360" s="80"/>
    </row>
    <row r="361" spans="2:255" s="77" customFormat="1" ht="17.25" customHeight="1" hidden="1">
      <c r="B361" s="38" t="s">
        <v>49</v>
      </c>
      <c r="C361" s="65"/>
      <c r="D361" s="45">
        <f>G361</f>
        <v>40</v>
      </c>
      <c r="E361" s="45">
        <f>4698*0.98</f>
        <v>4604.04</v>
      </c>
      <c r="F361" s="53"/>
      <c r="G361" s="33">
        <v>40</v>
      </c>
      <c r="H361" s="33">
        <v>0</v>
      </c>
      <c r="I361" s="34"/>
      <c r="J361" s="33">
        <f>H361+I361</f>
        <v>0</v>
      </c>
      <c r="K361" s="33">
        <v>0</v>
      </c>
      <c r="L361" s="34"/>
      <c r="M361" s="29">
        <f>K361+L361</f>
        <v>0</v>
      </c>
      <c r="N361" s="33">
        <v>0</v>
      </c>
      <c r="O361" s="34"/>
      <c r="P361" s="29">
        <f>N361+O361</f>
        <v>0</v>
      </c>
      <c r="Q361" s="29">
        <f t="shared" si="96"/>
        <v>40</v>
      </c>
      <c r="R361" s="210"/>
      <c r="S361" s="210"/>
      <c r="Z361" s="209"/>
      <c r="AA361" s="209"/>
      <c r="IQ361" s="80"/>
      <c r="IR361" s="80"/>
      <c r="IS361" s="80"/>
      <c r="IT361" s="80"/>
      <c r="IU361" s="80"/>
    </row>
    <row r="362" spans="2:255" s="93" customFormat="1" ht="30" hidden="1">
      <c r="B362" s="49" t="s">
        <v>41</v>
      </c>
      <c r="C362" s="94"/>
      <c r="D362" s="45">
        <f>G362</f>
        <v>142</v>
      </c>
      <c r="E362" s="45">
        <f>(E354+E355)*0.02</f>
        <v>33.04</v>
      </c>
      <c r="F362" s="53"/>
      <c r="G362" s="33">
        <f>197-15-40</f>
        <v>142</v>
      </c>
      <c r="H362" s="45">
        <v>0</v>
      </c>
      <c r="I362" s="53"/>
      <c r="J362" s="33">
        <f>H362+I362</f>
        <v>0</v>
      </c>
      <c r="K362" s="82">
        <v>0</v>
      </c>
      <c r="L362" s="83"/>
      <c r="M362" s="29">
        <f>K362+L362</f>
        <v>0</v>
      </c>
      <c r="N362" s="82">
        <v>0</v>
      </c>
      <c r="O362" s="83"/>
      <c r="P362" s="29">
        <f>N362+O362</f>
        <v>0</v>
      </c>
      <c r="Q362" s="29">
        <f t="shared" si="96"/>
        <v>142</v>
      </c>
      <c r="R362" s="212"/>
      <c r="S362" s="212"/>
      <c r="Z362" s="216"/>
      <c r="AA362" s="216"/>
      <c r="IQ362" s="95"/>
      <c r="IR362" s="95"/>
      <c r="IS362" s="95"/>
      <c r="IT362" s="95"/>
      <c r="IU362" s="95"/>
    </row>
    <row r="363" spans="1:255" s="77" customFormat="1" ht="63" customHeight="1">
      <c r="A363" s="77">
        <v>37</v>
      </c>
      <c r="B363" s="78" t="s">
        <v>100</v>
      </c>
      <c r="C363" s="23" t="s">
        <v>103</v>
      </c>
      <c r="D363" s="41">
        <f>D364+D365+D366</f>
        <v>156</v>
      </c>
      <c r="E363" s="41">
        <f>SUM(E364:E366)</f>
        <v>2308</v>
      </c>
      <c r="F363" s="42"/>
      <c r="G363" s="29">
        <f aca="true" t="shared" si="100" ref="G363:P363">G364+G365+G366</f>
        <v>156</v>
      </c>
      <c r="H363" s="29">
        <f t="shared" si="100"/>
        <v>1307</v>
      </c>
      <c r="I363" s="29">
        <f t="shared" si="100"/>
        <v>0</v>
      </c>
      <c r="J363" s="29">
        <f t="shared" si="100"/>
        <v>0</v>
      </c>
      <c r="K363" s="29">
        <f t="shared" si="100"/>
        <v>1155</v>
      </c>
      <c r="L363" s="29">
        <f t="shared" si="100"/>
        <v>0</v>
      </c>
      <c r="M363" s="29">
        <f t="shared" si="100"/>
        <v>0</v>
      </c>
      <c r="N363" s="29">
        <f t="shared" si="100"/>
        <v>465</v>
      </c>
      <c r="O363" s="29">
        <f t="shared" si="100"/>
        <v>0</v>
      </c>
      <c r="P363" s="29">
        <f t="shared" si="100"/>
        <v>0</v>
      </c>
      <c r="Q363" s="29">
        <f t="shared" si="96"/>
        <v>156</v>
      </c>
      <c r="R363" s="210"/>
      <c r="S363" s="210"/>
      <c r="Z363" s="233">
        <v>0</v>
      </c>
      <c r="AA363" s="226">
        <f>D363+Z363</f>
        <v>156</v>
      </c>
      <c r="IQ363" s="80"/>
      <c r="IR363" s="80"/>
      <c r="IS363" s="80"/>
      <c r="IT363" s="80"/>
      <c r="IU363" s="80"/>
    </row>
    <row r="364" spans="2:255" s="77" customFormat="1" ht="16.5" customHeight="1">
      <c r="B364" s="43" t="s">
        <v>44</v>
      </c>
      <c r="C364" s="81"/>
      <c r="D364" s="82">
        <f>G364+J364+M364+P364</f>
        <v>0</v>
      </c>
      <c r="E364" s="82">
        <v>0</v>
      </c>
      <c r="F364" s="83"/>
      <c r="G364" s="29">
        <f>E364+F364</f>
        <v>0</v>
      </c>
      <c r="H364" s="82">
        <v>0</v>
      </c>
      <c r="I364" s="83"/>
      <c r="J364" s="29">
        <f>H364+I364</f>
        <v>0</v>
      </c>
      <c r="K364" s="82">
        <v>0</v>
      </c>
      <c r="L364" s="83"/>
      <c r="M364" s="29">
        <f>K364+L364</f>
        <v>0</v>
      </c>
      <c r="N364" s="82">
        <v>0</v>
      </c>
      <c r="O364" s="83"/>
      <c r="P364" s="29">
        <f>N364+O364</f>
        <v>0</v>
      </c>
      <c r="Q364" s="29">
        <f t="shared" si="96"/>
        <v>0</v>
      </c>
      <c r="R364" s="210"/>
      <c r="S364" s="210"/>
      <c r="Z364" s="209">
        <v>0</v>
      </c>
      <c r="AA364" s="130">
        <f>D364+Z364</f>
        <v>0</v>
      </c>
      <c r="IQ364" s="80"/>
      <c r="IR364" s="80"/>
      <c r="IS364" s="80"/>
      <c r="IT364" s="80"/>
      <c r="IU364" s="80"/>
    </row>
    <row r="365" spans="2:255" s="77" customFormat="1" ht="16.5" customHeight="1">
      <c r="B365" s="38" t="s">
        <v>45</v>
      </c>
      <c r="C365" s="85"/>
      <c r="D365" s="82">
        <f>G365+J365+M365+P365</f>
        <v>0</v>
      </c>
      <c r="E365" s="82">
        <v>2308</v>
      </c>
      <c r="F365" s="83"/>
      <c r="G365" s="29">
        <v>0</v>
      </c>
      <c r="H365" s="82">
        <v>1307</v>
      </c>
      <c r="I365" s="83"/>
      <c r="J365" s="29">
        <v>0</v>
      </c>
      <c r="K365" s="82">
        <v>1155</v>
      </c>
      <c r="L365" s="83"/>
      <c r="M365" s="29">
        <v>0</v>
      </c>
      <c r="N365" s="82">
        <v>465</v>
      </c>
      <c r="O365" s="83"/>
      <c r="P365" s="29">
        <v>0</v>
      </c>
      <c r="Q365" s="29">
        <f t="shared" si="96"/>
        <v>0</v>
      </c>
      <c r="R365" s="210"/>
      <c r="S365" s="210"/>
      <c r="Z365" s="209">
        <v>0</v>
      </c>
      <c r="AA365" s="130">
        <f>D365+Z365</f>
        <v>0</v>
      </c>
      <c r="IQ365" s="80"/>
      <c r="IR365" s="80"/>
      <c r="IS365" s="80"/>
      <c r="IT365" s="80"/>
      <c r="IU365" s="80"/>
    </row>
    <row r="366" spans="2:255" s="77" customFormat="1" ht="15.75" customHeight="1">
      <c r="B366" s="38" t="s">
        <v>46</v>
      </c>
      <c r="C366" s="86"/>
      <c r="D366" s="82">
        <f>G366+J366+M366+P366</f>
        <v>156</v>
      </c>
      <c r="E366" s="82">
        <v>0</v>
      </c>
      <c r="F366" s="83"/>
      <c r="G366" s="29">
        <v>156</v>
      </c>
      <c r="H366" s="82">
        <v>0</v>
      </c>
      <c r="I366" s="83"/>
      <c r="J366" s="29">
        <f>H366+I366</f>
        <v>0</v>
      </c>
      <c r="K366" s="82">
        <v>0</v>
      </c>
      <c r="L366" s="83"/>
      <c r="M366" s="29">
        <f>K366+L366</f>
        <v>0</v>
      </c>
      <c r="N366" s="82">
        <v>0</v>
      </c>
      <c r="O366" s="83"/>
      <c r="P366" s="29">
        <f>N366+O366</f>
        <v>0</v>
      </c>
      <c r="Q366" s="29">
        <f t="shared" si="96"/>
        <v>156</v>
      </c>
      <c r="R366" s="210"/>
      <c r="S366" s="210"/>
      <c r="Z366" s="209">
        <v>0</v>
      </c>
      <c r="AA366" s="130">
        <f>D366+Z366</f>
        <v>156</v>
      </c>
      <c r="IQ366" s="80"/>
      <c r="IR366" s="80"/>
      <c r="IS366" s="80"/>
      <c r="IT366" s="80"/>
      <c r="IU366" s="80"/>
    </row>
    <row r="367" spans="2:255" s="77" customFormat="1" ht="15.75" customHeight="1" hidden="1">
      <c r="B367" s="38"/>
      <c r="C367" s="86"/>
      <c r="D367" s="41">
        <f>D368+D369+D370+D371</f>
        <v>3768</v>
      </c>
      <c r="E367" s="41">
        <f>E368+E369+E370+E371</f>
        <v>2308</v>
      </c>
      <c r="F367" s="42"/>
      <c r="G367" s="41">
        <f>G368+G369+G370+G371</f>
        <v>3768</v>
      </c>
      <c r="H367" s="41">
        <f>H368+H369+H370+H371</f>
        <v>1307</v>
      </c>
      <c r="I367" s="42"/>
      <c r="J367" s="41">
        <f aca="true" t="shared" si="101" ref="J367:P367">J368+J369+J370+J371</f>
        <v>0</v>
      </c>
      <c r="K367" s="41">
        <f t="shared" si="101"/>
        <v>1155</v>
      </c>
      <c r="L367" s="41">
        <f t="shared" si="101"/>
        <v>0</v>
      </c>
      <c r="M367" s="41">
        <f t="shared" si="101"/>
        <v>0</v>
      </c>
      <c r="N367" s="41">
        <f t="shared" si="101"/>
        <v>465</v>
      </c>
      <c r="O367" s="41">
        <f t="shared" si="101"/>
        <v>0</v>
      </c>
      <c r="P367" s="41">
        <f t="shared" si="101"/>
        <v>0</v>
      </c>
      <c r="Q367" s="29"/>
      <c r="R367" s="210"/>
      <c r="S367" s="210"/>
      <c r="Z367" s="209"/>
      <c r="AA367" s="209"/>
      <c r="IQ367" s="80"/>
      <c r="IR367" s="80"/>
      <c r="IS367" s="80"/>
      <c r="IT367" s="80"/>
      <c r="IU367" s="80"/>
    </row>
    <row r="368" spans="2:255" s="77" customFormat="1" ht="18.75" customHeight="1" hidden="1">
      <c r="B368" s="38" t="s">
        <v>47</v>
      </c>
      <c r="C368" s="65"/>
      <c r="D368" s="82">
        <f>G368+J368+M368+P368</f>
        <v>0</v>
      </c>
      <c r="E368" s="82"/>
      <c r="F368" s="83"/>
      <c r="G368" s="29">
        <f>E368+F368</f>
        <v>0</v>
      </c>
      <c r="H368" s="82"/>
      <c r="I368" s="83"/>
      <c r="J368" s="29">
        <f>H368+I368</f>
        <v>0</v>
      </c>
      <c r="K368" s="82"/>
      <c r="L368" s="83"/>
      <c r="M368" s="29">
        <f>K368+L368</f>
        <v>0</v>
      </c>
      <c r="N368" s="82"/>
      <c r="O368" s="83"/>
      <c r="P368" s="29">
        <f>N368+O368</f>
        <v>0</v>
      </c>
      <c r="Q368" s="29">
        <f>G368+J368+M368+P368</f>
        <v>0</v>
      </c>
      <c r="R368" s="210"/>
      <c r="S368" s="210"/>
      <c r="Z368" s="209"/>
      <c r="AA368" s="209"/>
      <c r="IQ368" s="80"/>
      <c r="IR368" s="80"/>
      <c r="IS368" s="80"/>
      <c r="IT368" s="80"/>
      <c r="IU368" s="80"/>
    </row>
    <row r="369" spans="2:255" s="77" customFormat="1" ht="15" customHeight="1" hidden="1">
      <c r="B369" s="38" t="s">
        <v>48</v>
      </c>
      <c r="C369" s="65"/>
      <c r="D369" s="82">
        <f>G369+J369+M369+P369</f>
        <v>0</v>
      </c>
      <c r="E369" s="82">
        <v>2308</v>
      </c>
      <c r="F369" s="83"/>
      <c r="G369" s="29">
        <v>0</v>
      </c>
      <c r="H369" s="82">
        <v>1307</v>
      </c>
      <c r="I369" s="83"/>
      <c r="J369" s="29">
        <v>0</v>
      </c>
      <c r="K369" s="82">
        <v>1155</v>
      </c>
      <c r="L369" s="83"/>
      <c r="M369" s="29">
        <v>0</v>
      </c>
      <c r="N369" s="82">
        <v>465</v>
      </c>
      <c r="O369" s="83"/>
      <c r="P369" s="29">
        <v>0</v>
      </c>
      <c r="Q369" s="29">
        <f>G369+J369+M369+P369</f>
        <v>0</v>
      </c>
      <c r="R369" s="210"/>
      <c r="S369" s="210"/>
      <c r="Z369" s="209"/>
      <c r="AA369" s="209"/>
      <c r="IQ369" s="80"/>
      <c r="IR369" s="80"/>
      <c r="IS369" s="80"/>
      <c r="IT369" s="80"/>
      <c r="IU369" s="80"/>
    </row>
    <row r="370" spans="2:255" s="77" customFormat="1" ht="17.25" customHeight="1" hidden="1">
      <c r="B370" s="38" t="s">
        <v>49</v>
      </c>
      <c r="C370" s="65"/>
      <c r="D370" s="82">
        <f>G370+J370+M370+P370</f>
        <v>3768</v>
      </c>
      <c r="E370" s="82"/>
      <c r="F370" s="83"/>
      <c r="G370" s="29">
        <v>3768</v>
      </c>
      <c r="H370" s="82"/>
      <c r="I370" s="83"/>
      <c r="J370" s="29">
        <f>H370+I370</f>
        <v>0</v>
      </c>
      <c r="K370" s="82"/>
      <c r="L370" s="83"/>
      <c r="M370" s="29">
        <f>K370+L370</f>
        <v>0</v>
      </c>
      <c r="N370" s="82"/>
      <c r="O370" s="83"/>
      <c r="P370" s="29">
        <f>N370+O370</f>
        <v>0</v>
      </c>
      <c r="Q370" s="29">
        <f>G370+J370+M370+P370</f>
        <v>3768</v>
      </c>
      <c r="R370" s="215">
        <f>G370-G366-G195-G186-D599-D610+420</f>
        <v>-217</v>
      </c>
      <c r="S370" s="210"/>
      <c r="Z370" s="209"/>
      <c r="AA370" s="209"/>
      <c r="IQ370" s="80"/>
      <c r="IR370" s="80"/>
      <c r="IS370" s="80"/>
      <c r="IT370" s="80"/>
      <c r="IU370" s="80"/>
    </row>
    <row r="371" spans="2:255" s="93" customFormat="1" ht="30" hidden="1">
      <c r="B371" s="49" t="s">
        <v>41</v>
      </c>
      <c r="C371" s="94"/>
      <c r="D371" s="82">
        <f>G371+J371+M371+P371</f>
        <v>0</v>
      </c>
      <c r="E371" s="82"/>
      <c r="F371" s="83"/>
      <c r="G371" s="29">
        <f>E371+F371</f>
        <v>0</v>
      </c>
      <c r="H371" s="82"/>
      <c r="I371" s="83"/>
      <c r="J371" s="29">
        <f>H371+I371</f>
        <v>0</v>
      </c>
      <c r="K371" s="82"/>
      <c r="L371" s="83"/>
      <c r="M371" s="29">
        <f>K371+L371</f>
        <v>0</v>
      </c>
      <c r="N371" s="82"/>
      <c r="O371" s="83"/>
      <c r="P371" s="29">
        <f>N371+O371</f>
        <v>0</v>
      </c>
      <c r="Q371" s="29">
        <f>G371+J371+M371+P371</f>
        <v>0</v>
      </c>
      <c r="R371" s="212"/>
      <c r="S371" s="212"/>
      <c r="Z371" s="216"/>
      <c r="AA371" s="216"/>
      <c r="IQ371" s="95"/>
      <c r="IR371" s="95"/>
      <c r="IS371" s="95"/>
      <c r="IT371" s="95"/>
      <c r="IU371" s="95"/>
    </row>
    <row r="372" spans="1:255" s="77" customFormat="1" ht="35.25" customHeight="1">
      <c r="A372" s="77">
        <v>38</v>
      </c>
      <c r="B372" s="78" t="s">
        <v>100</v>
      </c>
      <c r="C372" s="23" t="s">
        <v>104</v>
      </c>
      <c r="D372" s="41">
        <f aca="true" t="shared" si="102" ref="D372:Q372">D373+D374+D375</f>
        <v>2265</v>
      </c>
      <c r="E372" s="41">
        <f t="shared" si="102"/>
        <v>0</v>
      </c>
      <c r="F372" s="41">
        <f t="shared" si="102"/>
        <v>0</v>
      </c>
      <c r="G372" s="41">
        <f t="shared" si="102"/>
        <v>1131</v>
      </c>
      <c r="H372" s="41">
        <f t="shared" si="102"/>
        <v>11</v>
      </c>
      <c r="I372" s="41">
        <f t="shared" si="102"/>
        <v>0</v>
      </c>
      <c r="J372" s="41">
        <f t="shared" si="102"/>
        <v>1134</v>
      </c>
      <c r="K372" s="41">
        <f t="shared" si="102"/>
        <v>0</v>
      </c>
      <c r="L372" s="41">
        <f t="shared" si="102"/>
        <v>0</v>
      </c>
      <c r="M372" s="41">
        <f t="shared" si="102"/>
        <v>0</v>
      </c>
      <c r="N372" s="41">
        <f t="shared" si="102"/>
        <v>1847</v>
      </c>
      <c r="O372" s="41">
        <f t="shared" si="102"/>
        <v>0</v>
      </c>
      <c r="P372" s="41">
        <f t="shared" si="102"/>
        <v>0</v>
      </c>
      <c r="Q372" s="41">
        <f t="shared" si="102"/>
        <v>2265</v>
      </c>
      <c r="R372" s="210"/>
      <c r="S372" s="210"/>
      <c r="Z372" s="233">
        <v>0</v>
      </c>
      <c r="AA372" s="226">
        <f>D372+Z372</f>
        <v>2265</v>
      </c>
      <c r="IQ372" s="80"/>
      <c r="IR372" s="80"/>
      <c r="IS372" s="80"/>
      <c r="IT372" s="80"/>
      <c r="IU372" s="80"/>
    </row>
    <row r="373" spans="2:255" s="77" customFormat="1" ht="16.5" customHeight="1">
      <c r="B373" s="31" t="s">
        <v>22</v>
      </c>
      <c r="C373" s="32" t="s">
        <v>23</v>
      </c>
      <c r="D373" s="82">
        <f>G373+J373+M373+P373</f>
        <v>1902</v>
      </c>
      <c r="E373" s="82">
        <v>0</v>
      </c>
      <c r="F373" s="83"/>
      <c r="G373" s="29">
        <v>950</v>
      </c>
      <c r="H373" s="82">
        <v>9</v>
      </c>
      <c r="I373" s="83"/>
      <c r="J373" s="29">
        <v>952</v>
      </c>
      <c r="K373" s="82">
        <v>0</v>
      </c>
      <c r="L373" s="83">
        <v>0</v>
      </c>
      <c r="M373" s="29">
        <v>0</v>
      </c>
      <c r="N373" s="82">
        <v>1552</v>
      </c>
      <c r="O373" s="83"/>
      <c r="P373" s="29">
        <v>0</v>
      </c>
      <c r="Q373" s="29">
        <f>G373+J373+M373+P373</f>
        <v>1902</v>
      </c>
      <c r="R373" s="210"/>
      <c r="S373" s="210"/>
      <c r="Z373" s="209">
        <v>0</v>
      </c>
      <c r="AA373" s="130">
        <f>D373+Z373</f>
        <v>1902</v>
      </c>
      <c r="IQ373" s="80"/>
      <c r="IR373" s="80"/>
      <c r="IS373" s="80"/>
      <c r="IT373" s="80"/>
      <c r="IU373" s="80"/>
    </row>
    <row r="374" spans="2:255" s="77" customFormat="1" ht="16.5" customHeight="1">
      <c r="B374" s="31" t="s">
        <v>24</v>
      </c>
      <c r="C374" s="32" t="s">
        <v>25</v>
      </c>
      <c r="D374" s="82">
        <f>G374+J374+M374+P374</f>
        <v>0</v>
      </c>
      <c r="E374" s="82">
        <v>0</v>
      </c>
      <c r="F374" s="83"/>
      <c r="G374" s="29">
        <f>E374+F374</f>
        <v>0</v>
      </c>
      <c r="H374" s="82">
        <v>0</v>
      </c>
      <c r="I374" s="83"/>
      <c r="J374" s="29">
        <f>H374+I374</f>
        <v>0</v>
      </c>
      <c r="K374" s="82">
        <v>0</v>
      </c>
      <c r="L374" s="83"/>
      <c r="M374" s="29">
        <f>K374+L374</f>
        <v>0</v>
      </c>
      <c r="N374" s="82">
        <v>0</v>
      </c>
      <c r="O374" s="83"/>
      <c r="P374" s="29">
        <f>N374+O374</f>
        <v>0</v>
      </c>
      <c r="Q374" s="29">
        <f>G374+J374+M374+P374</f>
        <v>0</v>
      </c>
      <c r="R374" s="210"/>
      <c r="S374" s="210"/>
      <c r="Z374" s="209">
        <v>0</v>
      </c>
      <c r="AA374" s="130">
        <f>D374+Z374</f>
        <v>0</v>
      </c>
      <c r="IQ374" s="80"/>
      <c r="IR374" s="80"/>
      <c r="IS374" s="80"/>
      <c r="IT374" s="80"/>
      <c r="IU374" s="80"/>
    </row>
    <row r="375" spans="2:255" s="77" customFormat="1" ht="15.75" customHeight="1">
      <c r="B375" s="37" t="s">
        <v>26</v>
      </c>
      <c r="C375" s="32" t="s">
        <v>27</v>
      </c>
      <c r="D375" s="82">
        <f>G375+J375+M375+P375</f>
        <v>363</v>
      </c>
      <c r="E375" s="82">
        <v>0</v>
      </c>
      <c r="F375" s="83"/>
      <c r="G375" s="29">
        <v>181</v>
      </c>
      <c r="H375" s="82">
        <v>2</v>
      </c>
      <c r="I375" s="83"/>
      <c r="J375" s="29">
        <v>182</v>
      </c>
      <c r="K375" s="82">
        <v>0</v>
      </c>
      <c r="L375" s="83">
        <v>0</v>
      </c>
      <c r="M375" s="29">
        <v>0</v>
      </c>
      <c r="N375" s="82">
        <v>295</v>
      </c>
      <c r="O375" s="83"/>
      <c r="P375" s="29">
        <v>0</v>
      </c>
      <c r="Q375" s="29">
        <f>G375+J375+M375+P375</f>
        <v>363</v>
      </c>
      <c r="R375" s="210"/>
      <c r="S375" s="210"/>
      <c r="Z375" s="209">
        <v>0</v>
      </c>
      <c r="AA375" s="130">
        <f>D375+Z375</f>
        <v>363</v>
      </c>
      <c r="IQ375" s="80"/>
      <c r="IR375" s="80"/>
      <c r="IS375" s="80"/>
      <c r="IT375" s="80"/>
      <c r="IU375" s="80"/>
    </row>
    <row r="376" spans="2:255" s="77" customFormat="1" ht="15.75" customHeight="1" hidden="1">
      <c r="B376" s="38"/>
      <c r="C376" s="23"/>
      <c r="D376" s="101">
        <f>D377+D378+D379</f>
        <v>2265</v>
      </c>
      <c r="E376" s="101"/>
      <c r="F376" s="102"/>
      <c r="G376" s="101">
        <f aca="true" t="shared" si="103" ref="G376:P376">G377+G378+G379</f>
        <v>1131</v>
      </c>
      <c r="H376" s="101">
        <f t="shared" si="103"/>
        <v>11</v>
      </c>
      <c r="I376" s="101">
        <f t="shared" si="103"/>
        <v>0</v>
      </c>
      <c r="J376" s="101">
        <f t="shared" si="103"/>
        <v>1134</v>
      </c>
      <c r="K376" s="101">
        <f t="shared" si="103"/>
        <v>0</v>
      </c>
      <c r="L376" s="101">
        <f t="shared" si="103"/>
        <v>0</v>
      </c>
      <c r="M376" s="101">
        <f t="shared" si="103"/>
        <v>0</v>
      </c>
      <c r="N376" s="101">
        <f t="shared" si="103"/>
        <v>1847</v>
      </c>
      <c r="O376" s="101">
        <f t="shared" si="103"/>
        <v>0</v>
      </c>
      <c r="P376" s="101">
        <f t="shared" si="103"/>
        <v>0</v>
      </c>
      <c r="Q376" s="29"/>
      <c r="R376" s="210"/>
      <c r="S376" s="210"/>
      <c r="Z376" s="209"/>
      <c r="AA376" s="209"/>
      <c r="IQ376" s="80"/>
      <c r="IR376" s="80"/>
      <c r="IS376" s="80"/>
      <c r="IT376" s="80"/>
      <c r="IU376" s="80"/>
    </row>
    <row r="377" spans="2:255" s="77" customFormat="1" ht="15" customHeight="1" hidden="1">
      <c r="B377" s="37" t="s">
        <v>28</v>
      </c>
      <c r="C377" s="40" t="s">
        <v>23</v>
      </c>
      <c r="D377" s="82">
        <f>G377+J377+M377+P377</f>
        <v>1902</v>
      </c>
      <c r="E377" s="82">
        <v>0</v>
      </c>
      <c r="F377" s="83"/>
      <c r="G377" s="29">
        <v>950</v>
      </c>
      <c r="H377" s="82">
        <v>9</v>
      </c>
      <c r="I377" s="83"/>
      <c r="J377" s="29">
        <v>952</v>
      </c>
      <c r="K377" s="82">
        <v>0</v>
      </c>
      <c r="L377" s="83">
        <v>0</v>
      </c>
      <c r="M377" s="29">
        <f>K377+L377</f>
        <v>0</v>
      </c>
      <c r="N377" s="82">
        <v>1552</v>
      </c>
      <c r="O377" s="83"/>
      <c r="P377" s="29">
        <v>0</v>
      </c>
      <c r="Q377" s="29">
        <f aca="true" t="shared" si="104" ref="Q377:Q419">G377+J377+M377+P377</f>
        <v>1902</v>
      </c>
      <c r="R377" s="210"/>
      <c r="S377" s="210"/>
      <c r="Z377" s="209"/>
      <c r="AA377" s="209"/>
      <c r="IQ377" s="80"/>
      <c r="IR377" s="80"/>
      <c r="IS377" s="80"/>
      <c r="IT377" s="80"/>
      <c r="IU377" s="80"/>
    </row>
    <row r="378" spans="2:255" s="77" customFormat="1" ht="17.25" customHeight="1" hidden="1">
      <c r="B378" s="37" t="s">
        <v>29</v>
      </c>
      <c r="C378" s="40" t="s">
        <v>30</v>
      </c>
      <c r="D378" s="82">
        <f>G378+J378+M378+P378</f>
        <v>0</v>
      </c>
      <c r="E378" s="82"/>
      <c r="F378" s="83"/>
      <c r="G378" s="29">
        <f>E378+F378</f>
        <v>0</v>
      </c>
      <c r="H378" s="82"/>
      <c r="I378" s="83"/>
      <c r="J378" s="29">
        <f>H378+I378</f>
        <v>0</v>
      </c>
      <c r="K378" s="82"/>
      <c r="L378" s="83">
        <v>0</v>
      </c>
      <c r="M378" s="29">
        <v>0</v>
      </c>
      <c r="N378" s="82"/>
      <c r="O378" s="83"/>
      <c r="P378" s="29">
        <f>N378+O378</f>
        <v>0</v>
      </c>
      <c r="Q378" s="29">
        <f t="shared" si="104"/>
        <v>0</v>
      </c>
      <c r="R378" s="210"/>
      <c r="S378" s="210"/>
      <c r="Z378" s="209"/>
      <c r="AA378" s="209"/>
      <c r="IQ378" s="80"/>
      <c r="IR378" s="80"/>
      <c r="IS378" s="80"/>
      <c r="IT378" s="80"/>
      <c r="IU378" s="80"/>
    </row>
    <row r="379" spans="2:255" s="93" customFormat="1" ht="15" hidden="1">
      <c r="B379" s="37" t="s">
        <v>31</v>
      </c>
      <c r="C379" s="40" t="s">
        <v>27</v>
      </c>
      <c r="D379" s="82">
        <f>G379+J379+M379+P379</f>
        <v>363</v>
      </c>
      <c r="E379" s="82"/>
      <c r="F379" s="83"/>
      <c r="G379" s="29">
        <v>181</v>
      </c>
      <c r="H379" s="82">
        <v>2</v>
      </c>
      <c r="I379" s="83"/>
      <c r="J379" s="29">
        <v>182</v>
      </c>
      <c r="K379" s="82"/>
      <c r="L379" s="83"/>
      <c r="M379" s="29">
        <f>K379+L379</f>
        <v>0</v>
      </c>
      <c r="N379" s="82">
        <v>295</v>
      </c>
      <c r="O379" s="83"/>
      <c r="P379" s="29">
        <v>0</v>
      </c>
      <c r="Q379" s="29">
        <f t="shared" si="104"/>
        <v>363</v>
      </c>
      <c r="R379" s="212"/>
      <c r="S379" s="212"/>
      <c r="Z379" s="216"/>
      <c r="AA379" s="216"/>
      <c r="IQ379" s="95"/>
      <c r="IR379" s="95"/>
      <c r="IS379" s="95"/>
      <c r="IT379" s="95"/>
      <c r="IU379" s="95"/>
    </row>
    <row r="380" spans="1:255" s="77" customFormat="1" ht="32.25" customHeight="1">
      <c r="A380" s="77">
        <v>39</v>
      </c>
      <c r="B380" s="78" t="s">
        <v>100</v>
      </c>
      <c r="C380" s="23" t="s">
        <v>105</v>
      </c>
      <c r="D380" s="41">
        <f>D381+D382+D383</f>
        <v>1000</v>
      </c>
      <c r="E380" s="41">
        <f>E381+E382+E383</f>
        <v>0</v>
      </c>
      <c r="F380" s="42"/>
      <c r="G380" s="29">
        <f aca="true" t="shared" si="105" ref="G380:P380">G381+G382+G383</f>
        <v>1000</v>
      </c>
      <c r="H380" s="29">
        <f t="shared" si="105"/>
        <v>0</v>
      </c>
      <c r="I380" s="29">
        <f t="shared" si="105"/>
        <v>0</v>
      </c>
      <c r="J380" s="29">
        <f t="shared" si="105"/>
        <v>0</v>
      </c>
      <c r="K380" s="29">
        <f t="shared" si="105"/>
        <v>0</v>
      </c>
      <c r="L380" s="29">
        <f t="shared" si="105"/>
        <v>0</v>
      </c>
      <c r="M380" s="29">
        <f t="shared" si="105"/>
        <v>0</v>
      </c>
      <c r="N380" s="29">
        <f t="shared" si="105"/>
        <v>0</v>
      </c>
      <c r="O380" s="29">
        <f t="shared" si="105"/>
        <v>0</v>
      </c>
      <c r="P380" s="29">
        <f t="shared" si="105"/>
        <v>0</v>
      </c>
      <c r="Q380" s="29">
        <f t="shared" si="104"/>
        <v>1000</v>
      </c>
      <c r="R380" s="210"/>
      <c r="S380" s="210"/>
      <c r="Z380" s="233">
        <v>0</v>
      </c>
      <c r="AA380" s="226">
        <f>D380+Z380</f>
        <v>1000</v>
      </c>
      <c r="IQ380" s="80"/>
      <c r="IR380" s="80"/>
      <c r="IS380" s="80"/>
      <c r="IT380" s="80"/>
      <c r="IU380" s="80"/>
    </row>
    <row r="381" spans="2:255" s="77" customFormat="1" ht="16.5" customHeight="1">
      <c r="B381" s="43" t="s">
        <v>35</v>
      </c>
      <c r="C381" s="65"/>
      <c r="D381" s="82">
        <f>G381+J381+M381+P381</f>
        <v>150</v>
      </c>
      <c r="E381" s="82"/>
      <c r="F381" s="83"/>
      <c r="G381" s="29">
        <v>150</v>
      </c>
      <c r="H381" s="82"/>
      <c r="I381" s="83"/>
      <c r="J381" s="29">
        <f>H381+I381</f>
        <v>0</v>
      </c>
      <c r="K381" s="82"/>
      <c r="L381" s="83"/>
      <c r="M381" s="29">
        <f>K381+L381</f>
        <v>0</v>
      </c>
      <c r="N381" s="82"/>
      <c r="O381" s="83"/>
      <c r="P381" s="29">
        <f>N381+O381</f>
        <v>0</v>
      </c>
      <c r="Q381" s="29">
        <f t="shared" si="104"/>
        <v>150</v>
      </c>
      <c r="R381" s="210"/>
      <c r="S381" s="210"/>
      <c r="Z381" s="209">
        <v>0</v>
      </c>
      <c r="AA381" s="130">
        <f>D381+Z381</f>
        <v>150</v>
      </c>
      <c r="IQ381" s="80"/>
      <c r="IR381" s="80"/>
      <c r="IS381" s="80"/>
      <c r="IT381" s="80"/>
      <c r="IU381" s="80"/>
    </row>
    <row r="382" spans="2:255" s="77" customFormat="1" ht="16.5" customHeight="1">
      <c r="B382" s="43" t="s">
        <v>36</v>
      </c>
      <c r="C382" s="65"/>
      <c r="D382" s="82">
        <f>G382+J382+M382+P382</f>
        <v>850</v>
      </c>
      <c r="E382" s="82"/>
      <c r="F382" s="83"/>
      <c r="G382" s="29">
        <v>850</v>
      </c>
      <c r="H382" s="82"/>
      <c r="I382" s="83"/>
      <c r="J382" s="29">
        <f>H382+I382</f>
        <v>0</v>
      </c>
      <c r="K382" s="82"/>
      <c r="L382" s="83"/>
      <c r="M382" s="29">
        <f>K382+L382</f>
        <v>0</v>
      </c>
      <c r="N382" s="82"/>
      <c r="O382" s="83"/>
      <c r="P382" s="29">
        <f>N382+O382</f>
        <v>0</v>
      </c>
      <c r="Q382" s="29">
        <f t="shared" si="104"/>
        <v>850</v>
      </c>
      <c r="R382" s="210"/>
      <c r="S382" s="210"/>
      <c r="Z382" s="209">
        <v>0</v>
      </c>
      <c r="AA382" s="130">
        <f>D382+Z382</f>
        <v>850</v>
      </c>
      <c r="IQ382" s="80"/>
      <c r="IR382" s="80"/>
      <c r="IS382" s="80"/>
      <c r="IT382" s="80"/>
      <c r="IU382" s="80"/>
    </row>
    <row r="383" spans="2:255" s="77" customFormat="1" ht="16.5" customHeight="1">
      <c r="B383" s="43" t="s">
        <v>37</v>
      </c>
      <c r="C383" s="65"/>
      <c r="D383" s="82">
        <f>G383+J383+M383+P383</f>
        <v>0</v>
      </c>
      <c r="E383" s="82"/>
      <c r="F383" s="83"/>
      <c r="G383" s="29">
        <f>E383+F383</f>
        <v>0</v>
      </c>
      <c r="H383" s="82"/>
      <c r="I383" s="83"/>
      <c r="J383" s="29">
        <f>H383+I383</f>
        <v>0</v>
      </c>
      <c r="K383" s="82"/>
      <c r="L383" s="83"/>
      <c r="M383" s="29">
        <f>K383+L383</f>
        <v>0</v>
      </c>
      <c r="N383" s="82"/>
      <c r="O383" s="83"/>
      <c r="P383" s="29">
        <f>N383+O383</f>
        <v>0</v>
      </c>
      <c r="Q383" s="29">
        <f t="shared" si="104"/>
        <v>0</v>
      </c>
      <c r="R383" s="210"/>
      <c r="S383" s="210"/>
      <c r="Z383" s="209">
        <v>0</v>
      </c>
      <c r="AA383" s="130">
        <f>D383+Z383</f>
        <v>0</v>
      </c>
      <c r="IQ383" s="80"/>
      <c r="IR383" s="80"/>
      <c r="IS383" s="80"/>
      <c r="IT383" s="80"/>
      <c r="IU383" s="80"/>
    </row>
    <row r="384" spans="2:255" s="77" customFormat="1" ht="16.5" customHeight="1" hidden="1">
      <c r="B384" s="38"/>
      <c r="C384" s="65"/>
      <c r="D384" s="82"/>
      <c r="E384" s="82"/>
      <c r="F384" s="83"/>
      <c r="G384" s="29">
        <f>E384+F384</f>
        <v>0</v>
      </c>
      <c r="H384" s="82"/>
      <c r="I384" s="83"/>
      <c r="J384" s="29">
        <f>H384+I384</f>
        <v>0</v>
      </c>
      <c r="K384" s="82"/>
      <c r="L384" s="83"/>
      <c r="M384" s="29">
        <f>K384+L384</f>
        <v>0</v>
      </c>
      <c r="N384" s="82"/>
      <c r="O384" s="83"/>
      <c r="P384" s="29">
        <f>N384+O384</f>
        <v>0</v>
      </c>
      <c r="Q384" s="29">
        <f t="shared" si="104"/>
        <v>0</v>
      </c>
      <c r="R384" s="210"/>
      <c r="S384" s="210"/>
      <c r="Z384" s="209"/>
      <c r="AA384" s="209"/>
      <c r="IQ384" s="80"/>
      <c r="IR384" s="80"/>
      <c r="IS384" s="80"/>
      <c r="IT384" s="80"/>
      <c r="IU384" s="80"/>
    </row>
    <row r="385" spans="2:255" s="87" customFormat="1" ht="16.5" customHeight="1" hidden="1">
      <c r="B385" s="39"/>
      <c r="C385" s="28"/>
      <c r="D385" s="101">
        <f>D386+D387+D388+D389</f>
        <v>1000</v>
      </c>
      <c r="E385" s="101"/>
      <c r="F385" s="102"/>
      <c r="G385" s="101">
        <f>G386+G387+G388+G389</f>
        <v>1000</v>
      </c>
      <c r="H385" s="101">
        <f aca="true" t="shared" si="106" ref="H385:P385">H386+H387+H388</f>
        <v>0</v>
      </c>
      <c r="I385" s="101">
        <f t="shared" si="106"/>
        <v>0</v>
      </c>
      <c r="J385" s="101">
        <f t="shared" si="106"/>
        <v>0</v>
      </c>
      <c r="K385" s="101">
        <f t="shared" si="106"/>
        <v>0</v>
      </c>
      <c r="L385" s="101">
        <f t="shared" si="106"/>
        <v>0</v>
      </c>
      <c r="M385" s="101">
        <f t="shared" si="106"/>
        <v>0</v>
      </c>
      <c r="N385" s="101">
        <f t="shared" si="106"/>
        <v>0</v>
      </c>
      <c r="O385" s="101">
        <f t="shared" si="106"/>
        <v>0</v>
      </c>
      <c r="P385" s="101">
        <f t="shared" si="106"/>
        <v>0</v>
      </c>
      <c r="Q385" s="29">
        <f t="shared" si="104"/>
        <v>1000</v>
      </c>
      <c r="R385" s="211"/>
      <c r="S385" s="211"/>
      <c r="Z385" s="223"/>
      <c r="AA385" s="223"/>
      <c r="IQ385" s="90"/>
      <c r="IR385" s="90"/>
      <c r="IS385" s="90"/>
      <c r="IT385" s="90"/>
      <c r="IU385" s="90"/>
    </row>
    <row r="386" spans="2:255" s="77" customFormat="1" ht="16.5" customHeight="1" hidden="1">
      <c r="B386" s="38" t="s">
        <v>38</v>
      </c>
      <c r="C386" s="65"/>
      <c r="D386" s="82">
        <f>G386</f>
        <v>130</v>
      </c>
      <c r="E386" s="82"/>
      <c r="F386" s="83"/>
      <c r="G386" s="29">
        <v>130</v>
      </c>
      <c r="H386" s="82"/>
      <c r="I386" s="83"/>
      <c r="J386" s="29">
        <f>H386+I386</f>
        <v>0</v>
      </c>
      <c r="K386" s="82"/>
      <c r="L386" s="83"/>
      <c r="M386" s="29">
        <f>K386+L386</f>
        <v>0</v>
      </c>
      <c r="N386" s="82"/>
      <c r="O386" s="83"/>
      <c r="P386" s="29">
        <f>N386+O386</f>
        <v>0</v>
      </c>
      <c r="Q386" s="29">
        <f t="shared" si="104"/>
        <v>130</v>
      </c>
      <c r="R386" s="210"/>
      <c r="S386" s="210"/>
      <c r="Z386" s="209"/>
      <c r="AA386" s="209"/>
      <c r="IQ386" s="80"/>
      <c r="IR386" s="80"/>
      <c r="IS386" s="80"/>
      <c r="IT386" s="80"/>
      <c r="IU386" s="80"/>
    </row>
    <row r="387" spans="2:255" s="77" customFormat="1" ht="16.5" customHeight="1" hidden="1">
      <c r="B387" s="38" t="s">
        <v>39</v>
      </c>
      <c r="C387" s="65"/>
      <c r="D387" s="82">
        <f>G387</f>
        <v>850</v>
      </c>
      <c r="E387" s="82"/>
      <c r="F387" s="83"/>
      <c r="G387" s="29">
        <v>850</v>
      </c>
      <c r="H387" s="82"/>
      <c r="I387" s="83"/>
      <c r="J387" s="29">
        <f>H387+I387</f>
        <v>0</v>
      </c>
      <c r="K387" s="82"/>
      <c r="L387" s="83"/>
      <c r="M387" s="29">
        <f>K387+L387</f>
        <v>0</v>
      </c>
      <c r="N387" s="82"/>
      <c r="O387" s="83"/>
      <c r="P387" s="29">
        <f>N387+O387</f>
        <v>0</v>
      </c>
      <c r="Q387" s="29">
        <f t="shared" si="104"/>
        <v>850</v>
      </c>
      <c r="R387" s="210"/>
      <c r="S387" s="210"/>
      <c r="Z387" s="209"/>
      <c r="AA387" s="209"/>
      <c r="IQ387" s="80"/>
      <c r="IR387" s="80"/>
      <c r="IS387" s="80"/>
      <c r="IT387" s="80"/>
      <c r="IU387" s="80"/>
    </row>
    <row r="388" spans="2:255" s="77" customFormat="1" ht="16.5" customHeight="1" hidden="1">
      <c r="B388" s="38" t="s">
        <v>40</v>
      </c>
      <c r="C388" s="65"/>
      <c r="D388" s="82">
        <f>G388</f>
        <v>0</v>
      </c>
      <c r="E388" s="82"/>
      <c r="F388" s="83"/>
      <c r="G388" s="29">
        <f>E388+F388</f>
        <v>0</v>
      </c>
      <c r="H388" s="82"/>
      <c r="I388" s="83"/>
      <c r="J388" s="29">
        <f>H388+I388</f>
        <v>0</v>
      </c>
      <c r="K388" s="82"/>
      <c r="L388" s="83"/>
      <c r="M388" s="29">
        <f>K388+L388</f>
        <v>0</v>
      </c>
      <c r="N388" s="82"/>
      <c r="O388" s="83"/>
      <c r="P388" s="29">
        <f>N388+O388</f>
        <v>0</v>
      </c>
      <c r="Q388" s="29">
        <f t="shared" si="104"/>
        <v>0</v>
      </c>
      <c r="R388" s="210"/>
      <c r="S388" s="210"/>
      <c r="Z388" s="209"/>
      <c r="AA388" s="209"/>
      <c r="IQ388" s="80"/>
      <c r="IR388" s="80"/>
      <c r="IS388" s="80"/>
      <c r="IT388" s="80"/>
      <c r="IU388" s="80"/>
    </row>
    <row r="389" spans="2:255" s="93" customFormat="1" ht="30" hidden="1">
      <c r="B389" s="49" t="s">
        <v>41</v>
      </c>
      <c r="C389" s="94"/>
      <c r="D389" s="82">
        <f>G389</f>
        <v>20</v>
      </c>
      <c r="E389" s="82"/>
      <c r="F389" s="83"/>
      <c r="G389" s="29">
        <v>20</v>
      </c>
      <c r="H389" s="82"/>
      <c r="I389" s="83"/>
      <c r="J389" s="29">
        <f>H389+I389</f>
        <v>0</v>
      </c>
      <c r="K389" s="82"/>
      <c r="L389" s="83"/>
      <c r="M389" s="29">
        <f>K389+L389</f>
        <v>0</v>
      </c>
      <c r="N389" s="82"/>
      <c r="O389" s="83"/>
      <c r="P389" s="29">
        <f>N389+O389</f>
        <v>0</v>
      </c>
      <c r="Q389" s="29">
        <f t="shared" si="104"/>
        <v>20</v>
      </c>
      <c r="R389" s="212"/>
      <c r="S389" s="212"/>
      <c r="Z389" s="216"/>
      <c r="AA389" s="216"/>
      <c r="IQ389" s="95"/>
      <c r="IR389" s="95"/>
      <c r="IS389" s="95"/>
      <c r="IT389" s="95"/>
      <c r="IU389" s="95"/>
    </row>
    <row r="390" spans="1:255" s="77" customFormat="1" ht="32.25" customHeight="1">
      <c r="A390" s="77">
        <v>40</v>
      </c>
      <c r="B390" s="78" t="s">
        <v>100</v>
      </c>
      <c r="C390" s="23" t="s">
        <v>106</v>
      </c>
      <c r="D390" s="41">
        <f>D391+D392+D393</f>
        <v>1000</v>
      </c>
      <c r="E390" s="41">
        <f>E391+E392+E393</f>
        <v>0</v>
      </c>
      <c r="F390" s="42"/>
      <c r="G390" s="29">
        <f aca="true" t="shared" si="107" ref="G390:P390">G391+G392+G393</f>
        <v>1000</v>
      </c>
      <c r="H390" s="29">
        <f t="shared" si="107"/>
        <v>0</v>
      </c>
      <c r="I390" s="29">
        <f t="shared" si="107"/>
        <v>0</v>
      </c>
      <c r="J390" s="29">
        <f t="shared" si="107"/>
        <v>0</v>
      </c>
      <c r="K390" s="29">
        <f t="shared" si="107"/>
        <v>0</v>
      </c>
      <c r="L390" s="29">
        <f t="shared" si="107"/>
        <v>0</v>
      </c>
      <c r="M390" s="29">
        <f t="shared" si="107"/>
        <v>0</v>
      </c>
      <c r="N390" s="29">
        <f t="shared" si="107"/>
        <v>0</v>
      </c>
      <c r="O390" s="29">
        <f t="shared" si="107"/>
        <v>0</v>
      </c>
      <c r="P390" s="29">
        <f t="shared" si="107"/>
        <v>0</v>
      </c>
      <c r="Q390" s="29">
        <f t="shared" si="104"/>
        <v>1000</v>
      </c>
      <c r="R390" s="210"/>
      <c r="S390" s="210"/>
      <c r="Z390" s="233">
        <v>0</v>
      </c>
      <c r="AA390" s="226">
        <f>D390+Z390</f>
        <v>1000</v>
      </c>
      <c r="IQ390" s="80"/>
      <c r="IR390" s="80"/>
      <c r="IS390" s="80"/>
      <c r="IT390" s="80"/>
      <c r="IU390" s="80"/>
    </row>
    <row r="391" spans="2:255" s="77" customFormat="1" ht="16.5" customHeight="1">
      <c r="B391" s="43" t="s">
        <v>35</v>
      </c>
      <c r="C391" s="65"/>
      <c r="D391" s="82">
        <f>G391+J391+M391+P391</f>
        <v>150</v>
      </c>
      <c r="E391" s="82"/>
      <c r="F391" s="83"/>
      <c r="G391" s="29">
        <v>150</v>
      </c>
      <c r="H391" s="82"/>
      <c r="I391" s="83"/>
      <c r="J391" s="29">
        <f aca="true" t="shared" si="108" ref="J391:J399">H391+I391</f>
        <v>0</v>
      </c>
      <c r="K391" s="82"/>
      <c r="L391" s="83"/>
      <c r="M391" s="29">
        <f aca="true" t="shared" si="109" ref="M391:M399">K391+L391</f>
        <v>0</v>
      </c>
      <c r="N391" s="82"/>
      <c r="O391" s="83"/>
      <c r="P391" s="29">
        <f aca="true" t="shared" si="110" ref="P391:P399">N391+O391</f>
        <v>0</v>
      </c>
      <c r="Q391" s="29">
        <f t="shared" si="104"/>
        <v>150</v>
      </c>
      <c r="R391" s="210"/>
      <c r="S391" s="210"/>
      <c r="Z391" s="209">
        <v>0</v>
      </c>
      <c r="AA391" s="130">
        <f>D391+Z391</f>
        <v>150</v>
      </c>
      <c r="IQ391" s="80"/>
      <c r="IR391" s="80"/>
      <c r="IS391" s="80"/>
      <c r="IT391" s="80"/>
      <c r="IU391" s="80"/>
    </row>
    <row r="392" spans="2:255" s="77" customFormat="1" ht="16.5" customHeight="1">
      <c r="B392" s="43" t="s">
        <v>36</v>
      </c>
      <c r="C392" s="65"/>
      <c r="D392" s="82">
        <f>G392+J392+M392+P392</f>
        <v>850</v>
      </c>
      <c r="E392" s="82"/>
      <c r="F392" s="83"/>
      <c r="G392" s="29">
        <v>850</v>
      </c>
      <c r="H392" s="82"/>
      <c r="I392" s="83"/>
      <c r="J392" s="29">
        <f t="shared" si="108"/>
        <v>0</v>
      </c>
      <c r="K392" s="82"/>
      <c r="L392" s="83"/>
      <c r="M392" s="29">
        <f t="shared" si="109"/>
        <v>0</v>
      </c>
      <c r="N392" s="82"/>
      <c r="O392" s="83"/>
      <c r="P392" s="29">
        <f t="shared" si="110"/>
        <v>0</v>
      </c>
      <c r="Q392" s="29">
        <f t="shared" si="104"/>
        <v>850</v>
      </c>
      <c r="R392" s="210"/>
      <c r="S392" s="210"/>
      <c r="Z392" s="209">
        <v>0</v>
      </c>
      <c r="AA392" s="130">
        <f>D392+Z392</f>
        <v>850</v>
      </c>
      <c r="IQ392" s="80"/>
      <c r="IR392" s="80"/>
      <c r="IS392" s="80"/>
      <c r="IT392" s="80"/>
      <c r="IU392" s="80"/>
    </row>
    <row r="393" spans="2:255" s="77" customFormat="1" ht="16.5" customHeight="1">
      <c r="B393" s="43" t="s">
        <v>37</v>
      </c>
      <c r="C393" s="65"/>
      <c r="D393" s="82">
        <f>G393+J393+M393+P393</f>
        <v>0</v>
      </c>
      <c r="E393" s="82"/>
      <c r="F393" s="83"/>
      <c r="G393" s="29">
        <f>E393+F393</f>
        <v>0</v>
      </c>
      <c r="H393" s="82"/>
      <c r="I393" s="83"/>
      <c r="J393" s="29">
        <f t="shared" si="108"/>
        <v>0</v>
      </c>
      <c r="K393" s="82"/>
      <c r="L393" s="83"/>
      <c r="M393" s="29">
        <f t="shared" si="109"/>
        <v>0</v>
      </c>
      <c r="N393" s="82"/>
      <c r="O393" s="83"/>
      <c r="P393" s="29">
        <f t="shared" si="110"/>
        <v>0</v>
      </c>
      <c r="Q393" s="29">
        <f t="shared" si="104"/>
        <v>0</v>
      </c>
      <c r="R393" s="210"/>
      <c r="S393" s="210"/>
      <c r="Z393" s="209">
        <v>0</v>
      </c>
      <c r="AA393" s="130">
        <f>D393+Z393</f>
        <v>0</v>
      </c>
      <c r="IQ393" s="80"/>
      <c r="IR393" s="80"/>
      <c r="IS393" s="80"/>
      <c r="IT393" s="80"/>
      <c r="IU393" s="80"/>
    </row>
    <row r="394" spans="2:255" s="77" customFormat="1" ht="16.5" customHeight="1" hidden="1">
      <c r="B394" s="38"/>
      <c r="C394" s="65"/>
      <c r="D394" s="82"/>
      <c r="E394" s="82"/>
      <c r="F394" s="83"/>
      <c r="G394" s="29">
        <f>E394+F394</f>
        <v>0</v>
      </c>
      <c r="H394" s="82"/>
      <c r="I394" s="83"/>
      <c r="J394" s="29">
        <f t="shared" si="108"/>
        <v>0</v>
      </c>
      <c r="K394" s="82"/>
      <c r="L394" s="83"/>
      <c r="M394" s="29">
        <f t="shared" si="109"/>
        <v>0</v>
      </c>
      <c r="N394" s="82"/>
      <c r="O394" s="83"/>
      <c r="P394" s="29">
        <f t="shared" si="110"/>
        <v>0</v>
      </c>
      <c r="Q394" s="29">
        <f t="shared" si="104"/>
        <v>0</v>
      </c>
      <c r="R394" s="210"/>
      <c r="S394" s="210"/>
      <c r="Z394" s="209"/>
      <c r="AA394" s="209"/>
      <c r="IQ394" s="80"/>
      <c r="IR394" s="80"/>
      <c r="IS394" s="80"/>
      <c r="IT394" s="80"/>
      <c r="IU394" s="80"/>
    </row>
    <row r="395" spans="2:255" s="87" customFormat="1" ht="16.5" customHeight="1" hidden="1">
      <c r="B395" s="39"/>
      <c r="C395" s="28"/>
      <c r="D395" s="101">
        <f>D396+D397+D398+D399</f>
        <v>1000</v>
      </c>
      <c r="E395" s="101">
        <f>E396+E397+E398+E399</f>
        <v>0</v>
      </c>
      <c r="F395" s="102"/>
      <c r="G395" s="29">
        <f>G396+G397+G398+G399</f>
        <v>1000</v>
      </c>
      <c r="H395" s="101">
        <f>H396+H397+H398+H399</f>
        <v>0</v>
      </c>
      <c r="I395" s="102"/>
      <c r="J395" s="29">
        <f t="shared" si="108"/>
        <v>0</v>
      </c>
      <c r="K395" s="101">
        <f>K396+K397+K398+K399</f>
        <v>0</v>
      </c>
      <c r="L395" s="102"/>
      <c r="M395" s="29">
        <f t="shared" si="109"/>
        <v>0</v>
      </c>
      <c r="N395" s="101">
        <f>N396+N397+N398+N399</f>
        <v>0</v>
      </c>
      <c r="O395" s="102"/>
      <c r="P395" s="29">
        <f t="shared" si="110"/>
        <v>0</v>
      </c>
      <c r="Q395" s="29">
        <f t="shared" si="104"/>
        <v>1000</v>
      </c>
      <c r="R395" s="211"/>
      <c r="S395" s="211"/>
      <c r="Z395" s="223"/>
      <c r="AA395" s="223"/>
      <c r="IQ395" s="90"/>
      <c r="IR395" s="90"/>
      <c r="IS395" s="90"/>
      <c r="IT395" s="90"/>
      <c r="IU395" s="90"/>
    </row>
    <row r="396" spans="2:255" s="77" customFormat="1" ht="16.5" customHeight="1" hidden="1">
      <c r="B396" s="38" t="s">
        <v>38</v>
      </c>
      <c r="C396" s="65"/>
      <c r="D396" s="82">
        <f>G396</f>
        <v>130</v>
      </c>
      <c r="E396" s="82"/>
      <c r="F396" s="83"/>
      <c r="G396" s="29">
        <v>130</v>
      </c>
      <c r="H396" s="82"/>
      <c r="I396" s="83"/>
      <c r="J396" s="29">
        <f t="shared" si="108"/>
        <v>0</v>
      </c>
      <c r="K396" s="82"/>
      <c r="L396" s="83"/>
      <c r="M396" s="29">
        <f t="shared" si="109"/>
        <v>0</v>
      </c>
      <c r="N396" s="82"/>
      <c r="O396" s="83"/>
      <c r="P396" s="29">
        <f t="shared" si="110"/>
        <v>0</v>
      </c>
      <c r="Q396" s="29">
        <f t="shared" si="104"/>
        <v>130</v>
      </c>
      <c r="R396" s="210"/>
      <c r="S396" s="210"/>
      <c r="Z396" s="209"/>
      <c r="AA396" s="209"/>
      <c r="IQ396" s="80"/>
      <c r="IR396" s="80"/>
      <c r="IS396" s="80"/>
      <c r="IT396" s="80"/>
      <c r="IU396" s="80"/>
    </row>
    <row r="397" spans="2:255" s="77" customFormat="1" ht="16.5" customHeight="1" hidden="1">
      <c r="B397" s="38" t="s">
        <v>39</v>
      </c>
      <c r="C397" s="65"/>
      <c r="D397" s="82">
        <f>G397</f>
        <v>850</v>
      </c>
      <c r="E397" s="82"/>
      <c r="F397" s="83"/>
      <c r="G397" s="29">
        <v>850</v>
      </c>
      <c r="H397" s="82"/>
      <c r="I397" s="83"/>
      <c r="J397" s="29">
        <f t="shared" si="108"/>
        <v>0</v>
      </c>
      <c r="K397" s="82"/>
      <c r="L397" s="83"/>
      <c r="M397" s="29">
        <f t="shared" si="109"/>
        <v>0</v>
      </c>
      <c r="N397" s="82"/>
      <c r="O397" s="83"/>
      <c r="P397" s="29">
        <f t="shared" si="110"/>
        <v>0</v>
      </c>
      <c r="Q397" s="29">
        <f t="shared" si="104"/>
        <v>850</v>
      </c>
      <c r="R397" s="210"/>
      <c r="S397" s="210"/>
      <c r="Z397" s="209"/>
      <c r="AA397" s="209"/>
      <c r="IQ397" s="80"/>
      <c r="IR397" s="80"/>
      <c r="IS397" s="80"/>
      <c r="IT397" s="80"/>
      <c r="IU397" s="80"/>
    </row>
    <row r="398" spans="2:255" s="77" customFormat="1" ht="16.5" customHeight="1" hidden="1">
      <c r="B398" s="38" t="s">
        <v>40</v>
      </c>
      <c r="C398" s="65"/>
      <c r="D398" s="82">
        <f>G398</f>
        <v>0</v>
      </c>
      <c r="E398" s="82"/>
      <c r="F398" s="83"/>
      <c r="G398" s="29">
        <f>E398+F398</f>
        <v>0</v>
      </c>
      <c r="H398" s="82"/>
      <c r="I398" s="83"/>
      <c r="J398" s="29">
        <f t="shared" si="108"/>
        <v>0</v>
      </c>
      <c r="K398" s="82"/>
      <c r="L398" s="83"/>
      <c r="M398" s="29">
        <f t="shared" si="109"/>
        <v>0</v>
      </c>
      <c r="N398" s="82"/>
      <c r="O398" s="83"/>
      <c r="P398" s="29">
        <f t="shared" si="110"/>
        <v>0</v>
      </c>
      <c r="Q398" s="29">
        <f t="shared" si="104"/>
        <v>0</v>
      </c>
      <c r="R398" s="210"/>
      <c r="S398" s="210"/>
      <c r="Z398" s="209"/>
      <c r="AA398" s="209"/>
      <c r="IQ398" s="80"/>
      <c r="IR398" s="80"/>
      <c r="IS398" s="80"/>
      <c r="IT398" s="80"/>
      <c r="IU398" s="80"/>
    </row>
    <row r="399" spans="2:255" s="93" customFormat="1" ht="30" hidden="1">
      <c r="B399" s="49" t="s">
        <v>41</v>
      </c>
      <c r="C399" s="94"/>
      <c r="D399" s="82">
        <f>G399</f>
        <v>20</v>
      </c>
      <c r="E399" s="82"/>
      <c r="F399" s="83"/>
      <c r="G399" s="29">
        <v>20</v>
      </c>
      <c r="H399" s="82"/>
      <c r="I399" s="83"/>
      <c r="J399" s="29">
        <f t="shared" si="108"/>
        <v>0</v>
      </c>
      <c r="K399" s="82"/>
      <c r="L399" s="83"/>
      <c r="M399" s="29">
        <f t="shared" si="109"/>
        <v>0</v>
      </c>
      <c r="N399" s="82"/>
      <c r="O399" s="83"/>
      <c r="P399" s="29">
        <f t="shared" si="110"/>
        <v>0</v>
      </c>
      <c r="Q399" s="29">
        <f t="shared" si="104"/>
        <v>20</v>
      </c>
      <c r="R399" s="212"/>
      <c r="S399" s="212"/>
      <c r="Z399" s="216"/>
      <c r="AA399" s="216"/>
      <c r="IQ399" s="95"/>
      <c r="IR399" s="95"/>
      <c r="IS399" s="95"/>
      <c r="IT399" s="95"/>
      <c r="IU399" s="95"/>
    </row>
    <row r="400" spans="1:255" s="77" customFormat="1" ht="32.25" customHeight="1">
      <c r="A400" s="77">
        <v>41</v>
      </c>
      <c r="B400" s="78" t="s">
        <v>100</v>
      </c>
      <c r="C400" s="23" t="s">
        <v>107</v>
      </c>
      <c r="D400" s="41">
        <f>D401+D402+D403</f>
        <v>850</v>
      </c>
      <c r="E400" s="41">
        <f>E401+E402+E403</f>
        <v>0</v>
      </c>
      <c r="F400" s="42"/>
      <c r="G400" s="29">
        <f aca="true" t="shared" si="111" ref="G400:P400">G401+G402+G403</f>
        <v>0</v>
      </c>
      <c r="H400" s="29">
        <f t="shared" si="111"/>
        <v>0</v>
      </c>
      <c r="I400" s="29">
        <f t="shared" si="111"/>
        <v>0</v>
      </c>
      <c r="J400" s="29">
        <f>J401+J402+J403</f>
        <v>350</v>
      </c>
      <c r="K400" s="29">
        <f t="shared" si="111"/>
        <v>0</v>
      </c>
      <c r="L400" s="29">
        <f t="shared" si="111"/>
        <v>0</v>
      </c>
      <c r="M400" s="29">
        <f t="shared" si="111"/>
        <v>0</v>
      </c>
      <c r="N400" s="29">
        <f t="shared" si="111"/>
        <v>0</v>
      </c>
      <c r="O400" s="29">
        <f t="shared" si="111"/>
        <v>0</v>
      </c>
      <c r="P400" s="29">
        <f t="shared" si="111"/>
        <v>500</v>
      </c>
      <c r="Q400" s="29">
        <f t="shared" si="104"/>
        <v>850</v>
      </c>
      <c r="R400" s="210"/>
      <c r="S400" s="210"/>
      <c r="Z400" s="233">
        <v>0</v>
      </c>
      <c r="AA400" s="226">
        <f>D400+Z400</f>
        <v>850</v>
      </c>
      <c r="IQ400" s="80"/>
      <c r="IR400" s="80"/>
      <c r="IS400" s="80"/>
      <c r="IT400" s="80"/>
      <c r="IU400" s="80"/>
    </row>
    <row r="401" spans="2:255" s="77" customFormat="1" ht="16.5" customHeight="1">
      <c r="B401" s="43" t="s">
        <v>35</v>
      </c>
      <c r="C401" s="65"/>
      <c r="D401" s="45">
        <f>G401+J401+M401+P401</f>
        <v>128</v>
      </c>
      <c r="E401" s="45"/>
      <c r="F401" s="53"/>
      <c r="G401" s="33">
        <v>0</v>
      </c>
      <c r="H401" s="45"/>
      <c r="I401" s="53"/>
      <c r="J401" s="33">
        <v>53</v>
      </c>
      <c r="K401" s="45"/>
      <c r="L401" s="53"/>
      <c r="M401" s="33">
        <f aca="true" t="shared" si="112" ref="M401:M409">K401+L401</f>
        <v>0</v>
      </c>
      <c r="N401" s="45"/>
      <c r="O401" s="53"/>
      <c r="P401" s="33">
        <v>75</v>
      </c>
      <c r="Q401" s="29">
        <f t="shared" si="104"/>
        <v>128</v>
      </c>
      <c r="R401" s="210"/>
      <c r="S401" s="210"/>
      <c r="Z401" s="209">
        <v>0</v>
      </c>
      <c r="AA401" s="130">
        <f>D401+Z401</f>
        <v>128</v>
      </c>
      <c r="IQ401" s="80"/>
      <c r="IR401" s="80"/>
      <c r="IS401" s="80"/>
      <c r="IT401" s="80"/>
      <c r="IU401" s="80"/>
    </row>
    <row r="402" spans="2:255" s="77" customFormat="1" ht="16.5" customHeight="1">
      <c r="B402" s="43" t="s">
        <v>36</v>
      </c>
      <c r="C402" s="65"/>
      <c r="D402" s="45">
        <f>G402+J402+M402+P402</f>
        <v>722</v>
      </c>
      <c r="E402" s="45"/>
      <c r="F402" s="53"/>
      <c r="G402" s="33">
        <v>0</v>
      </c>
      <c r="H402" s="45"/>
      <c r="I402" s="53"/>
      <c r="J402" s="33">
        <v>297</v>
      </c>
      <c r="K402" s="45"/>
      <c r="L402" s="53"/>
      <c r="M402" s="33">
        <f t="shared" si="112"/>
        <v>0</v>
      </c>
      <c r="N402" s="45"/>
      <c r="O402" s="53"/>
      <c r="P402" s="33">
        <v>425</v>
      </c>
      <c r="Q402" s="29">
        <f t="shared" si="104"/>
        <v>722</v>
      </c>
      <c r="R402" s="210"/>
      <c r="S402" s="210"/>
      <c r="Z402" s="209">
        <v>0</v>
      </c>
      <c r="AA402" s="130">
        <f>D402+Z402</f>
        <v>722</v>
      </c>
      <c r="IQ402" s="80"/>
      <c r="IR402" s="80"/>
      <c r="IS402" s="80"/>
      <c r="IT402" s="80"/>
      <c r="IU402" s="80"/>
    </row>
    <row r="403" spans="2:255" s="77" customFormat="1" ht="16.5" customHeight="1">
      <c r="B403" s="43" t="s">
        <v>37</v>
      </c>
      <c r="C403" s="65"/>
      <c r="D403" s="45">
        <f>G403+J403+M403+P403</f>
        <v>0</v>
      </c>
      <c r="E403" s="45"/>
      <c r="F403" s="53"/>
      <c r="G403" s="33">
        <f>E403+F403</f>
        <v>0</v>
      </c>
      <c r="H403" s="45"/>
      <c r="I403" s="53"/>
      <c r="J403" s="33">
        <f>H403+I403</f>
        <v>0</v>
      </c>
      <c r="K403" s="45"/>
      <c r="L403" s="53"/>
      <c r="M403" s="33">
        <f t="shared" si="112"/>
        <v>0</v>
      </c>
      <c r="N403" s="45"/>
      <c r="O403" s="53"/>
      <c r="P403" s="33">
        <f>N403+O403</f>
        <v>0</v>
      </c>
      <c r="Q403" s="29">
        <f t="shared" si="104"/>
        <v>0</v>
      </c>
      <c r="R403" s="210"/>
      <c r="S403" s="210"/>
      <c r="Z403" s="209">
        <v>0</v>
      </c>
      <c r="AA403" s="130">
        <f>D403+Z403</f>
        <v>0</v>
      </c>
      <c r="IQ403" s="80"/>
      <c r="IR403" s="80"/>
      <c r="IS403" s="80"/>
      <c r="IT403" s="80"/>
      <c r="IU403" s="80"/>
    </row>
    <row r="404" spans="2:255" s="77" customFormat="1" ht="16.5" customHeight="1" hidden="1">
      <c r="B404" s="38"/>
      <c r="C404" s="65"/>
      <c r="D404" s="45"/>
      <c r="E404" s="45"/>
      <c r="F404" s="53"/>
      <c r="G404" s="33">
        <f>E404+F404</f>
        <v>0</v>
      </c>
      <c r="H404" s="45"/>
      <c r="I404" s="53"/>
      <c r="J404" s="33">
        <f>H404+I404</f>
        <v>0</v>
      </c>
      <c r="K404" s="45"/>
      <c r="L404" s="53"/>
      <c r="M404" s="33">
        <f t="shared" si="112"/>
        <v>0</v>
      </c>
      <c r="N404" s="45"/>
      <c r="O404" s="53"/>
      <c r="P404" s="33">
        <f>N404+O404</f>
        <v>0</v>
      </c>
      <c r="Q404" s="29">
        <f t="shared" si="104"/>
        <v>0</v>
      </c>
      <c r="R404" s="210"/>
      <c r="S404" s="210"/>
      <c r="Z404" s="209"/>
      <c r="AA404" s="209"/>
      <c r="IQ404" s="80"/>
      <c r="IR404" s="80"/>
      <c r="IS404" s="80"/>
      <c r="IT404" s="80"/>
      <c r="IU404" s="80"/>
    </row>
    <row r="405" spans="2:255" s="87" customFormat="1" ht="16.5" customHeight="1" hidden="1">
      <c r="B405" s="39"/>
      <c r="C405" s="28"/>
      <c r="D405" s="101">
        <f>G405+J405+M405+P405</f>
        <v>850</v>
      </c>
      <c r="E405" s="101">
        <f>E406+E407+E408+E409</f>
        <v>0</v>
      </c>
      <c r="F405" s="102"/>
      <c r="G405" s="29">
        <f>E405+F405</f>
        <v>0</v>
      </c>
      <c r="H405" s="101">
        <f>H406+H407+H408+H409</f>
        <v>0</v>
      </c>
      <c r="I405" s="102"/>
      <c r="J405" s="29">
        <f>SUM(J406:J409)</f>
        <v>350</v>
      </c>
      <c r="K405" s="101">
        <f>K406+K407+K408+K409</f>
        <v>0</v>
      </c>
      <c r="L405" s="102"/>
      <c r="M405" s="29">
        <f t="shared" si="112"/>
        <v>0</v>
      </c>
      <c r="N405" s="101">
        <f>N406+N407+N408+N409</f>
        <v>0</v>
      </c>
      <c r="O405" s="102"/>
      <c r="P405" s="29">
        <f>SUM(P406:P409)</f>
        <v>500</v>
      </c>
      <c r="Q405" s="29">
        <f t="shared" si="104"/>
        <v>850</v>
      </c>
      <c r="R405" s="211"/>
      <c r="S405" s="211"/>
      <c r="Z405" s="223"/>
      <c r="AA405" s="223"/>
      <c r="IQ405" s="90"/>
      <c r="IR405" s="90"/>
      <c r="IS405" s="90"/>
      <c r="IT405" s="90"/>
      <c r="IU405" s="90"/>
    </row>
    <row r="406" spans="2:255" s="77" customFormat="1" ht="16.5" customHeight="1" hidden="1">
      <c r="B406" s="38" t="s">
        <v>38</v>
      </c>
      <c r="C406" s="65"/>
      <c r="D406" s="45">
        <f>G406+J406+M406+P406</f>
        <v>111</v>
      </c>
      <c r="E406" s="45"/>
      <c r="F406" s="53"/>
      <c r="G406" s="33">
        <v>0</v>
      </c>
      <c r="H406" s="45"/>
      <c r="I406" s="53"/>
      <c r="J406" s="33">
        <v>46</v>
      </c>
      <c r="K406" s="45"/>
      <c r="L406" s="53"/>
      <c r="M406" s="33">
        <f t="shared" si="112"/>
        <v>0</v>
      </c>
      <c r="N406" s="45"/>
      <c r="O406" s="53"/>
      <c r="P406" s="33">
        <v>65</v>
      </c>
      <c r="Q406" s="29">
        <f t="shared" si="104"/>
        <v>111</v>
      </c>
      <c r="R406" s="210"/>
      <c r="S406" s="210"/>
      <c r="Z406" s="209"/>
      <c r="AA406" s="209"/>
      <c r="IQ406" s="80"/>
      <c r="IR406" s="80"/>
      <c r="IS406" s="80"/>
      <c r="IT406" s="80"/>
      <c r="IU406" s="80"/>
    </row>
    <row r="407" spans="2:255" s="77" customFormat="1" ht="16.5" customHeight="1" hidden="1">
      <c r="B407" s="38" t="s">
        <v>39</v>
      </c>
      <c r="C407" s="65"/>
      <c r="D407" s="45">
        <f>G407+J407+M407+P407</f>
        <v>722</v>
      </c>
      <c r="E407" s="45"/>
      <c r="F407" s="53"/>
      <c r="G407" s="33">
        <v>0</v>
      </c>
      <c r="H407" s="45"/>
      <c r="I407" s="53"/>
      <c r="J407" s="33">
        <f>J402</f>
        <v>297</v>
      </c>
      <c r="K407" s="45"/>
      <c r="L407" s="53"/>
      <c r="M407" s="33">
        <f t="shared" si="112"/>
        <v>0</v>
      </c>
      <c r="N407" s="45"/>
      <c r="O407" s="53"/>
      <c r="P407" s="33">
        <f>P402</f>
        <v>425</v>
      </c>
      <c r="Q407" s="29">
        <f t="shared" si="104"/>
        <v>722</v>
      </c>
      <c r="R407" s="210"/>
      <c r="S407" s="210"/>
      <c r="Z407" s="209"/>
      <c r="AA407" s="209"/>
      <c r="IQ407" s="80"/>
      <c r="IR407" s="80"/>
      <c r="IS407" s="80"/>
      <c r="IT407" s="80"/>
      <c r="IU407" s="80"/>
    </row>
    <row r="408" spans="2:255" s="77" customFormat="1" ht="16.5" customHeight="1" hidden="1">
      <c r="B408" s="38" t="s">
        <v>40</v>
      </c>
      <c r="C408" s="65"/>
      <c r="D408" s="45">
        <f>G408+J408+M408+P408</f>
        <v>0</v>
      </c>
      <c r="E408" s="45"/>
      <c r="F408" s="53"/>
      <c r="G408" s="33">
        <f>E408+F408</f>
        <v>0</v>
      </c>
      <c r="H408" s="45"/>
      <c r="I408" s="53"/>
      <c r="J408" s="33">
        <f>H408+I408</f>
        <v>0</v>
      </c>
      <c r="K408" s="45"/>
      <c r="L408" s="53"/>
      <c r="M408" s="33">
        <f t="shared" si="112"/>
        <v>0</v>
      </c>
      <c r="N408" s="45"/>
      <c r="O408" s="53"/>
      <c r="P408" s="33">
        <f>N408+O408</f>
        <v>0</v>
      </c>
      <c r="Q408" s="29">
        <f t="shared" si="104"/>
        <v>0</v>
      </c>
      <c r="R408" s="210"/>
      <c r="S408" s="210"/>
      <c r="Z408" s="209"/>
      <c r="AA408" s="209"/>
      <c r="IQ408" s="80"/>
      <c r="IR408" s="80"/>
      <c r="IS408" s="80"/>
      <c r="IT408" s="80"/>
      <c r="IU408" s="80"/>
    </row>
    <row r="409" spans="2:255" s="93" customFormat="1" ht="30" hidden="1">
      <c r="B409" s="49" t="s">
        <v>41</v>
      </c>
      <c r="C409" s="94"/>
      <c r="D409" s="45">
        <f>G409+J409+M409+P409</f>
        <v>17</v>
      </c>
      <c r="E409" s="45"/>
      <c r="F409" s="53"/>
      <c r="G409" s="33">
        <v>0</v>
      </c>
      <c r="H409" s="45"/>
      <c r="I409" s="53"/>
      <c r="J409" s="33">
        <v>7</v>
      </c>
      <c r="K409" s="45"/>
      <c r="L409" s="53"/>
      <c r="M409" s="33">
        <f t="shared" si="112"/>
        <v>0</v>
      </c>
      <c r="N409" s="45"/>
      <c r="O409" s="53"/>
      <c r="P409" s="33">
        <v>10</v>
      </c>
      <c r="Q409" s="29">
        <f t="shared" si="104"/>
        <v>17</v>
      </c>
      <c r="R409" s="212"/>
      <c r="S409" s="212"/>
      <c r="Z409" s="216"/>
      <c r="AA409" s="216"/>
      <c r="IQ409" s="95"/>
      <c r="IR409" s="95"/>
      <c r="IS409" s="95"/>
      <c r="IT409" s="95"/>
      <c r="IU409" s="95"/>
    </row>
    <row r="410" spans="1:255" s="77" customFormat="1" ht="32.25" customHeight="1">
      <c r="A410" s="77">
        <v>42</v>
      </c>
      <c r="B410" s="78" t="s">
        <v>100</v>
      </c>
      <c r="C410" s="23" t="s">
        <v>108</v>
      </c>
      <c r="D410" s="41">
        <f>D411+D412+D413</f>
        <v>1420</v>
      </c>
      <c r="E410" s="41">
        <f>E411+E412+E413</f>
        <v>0</v>
      </c>
      <c r="F410" s="42"/>
      <c r="G410" s="29">
        <f aca="true" t="shared" si="113" ref="G410:P410">G411+G412+G413</f>
        <v>0</v>
      </c>
      <c r="H410" s="29">
        <f t="shared" si="113"/>
        <v>0</v>
      </c>
      <c r="I410" s="29">
        <f t="shared" si="113"/>
        <v>0</v>
      </c>
      <c r="J410" s="29">
        <f t="shared" si="113"/>
        <v>720</v>
      </c>
      <c r="K410" s="29">
        <f t="shared" si="113"/>
        <v>0</v>
      </c>
      <c r="L410" s="29">
        <f t="shared" si="113"/>
        <v>0</v>
      </c>
      <c r="M410" s="29">
        <f t="shared" si="113"/>
        <v>0</v>
      </c>
      <c r="N410" s="29">
        <f t="shared" si="113"/>
        <v>0</v>
      </c>
      <c r="O410" s="29">
        <f t="shared" si="113"/>
        <v>0</v>
      </c>
      <c r="P410" s="29">
        <f t="shared" si="113"/>
        <v>700</v>
      </c>
      <c r="Q410" s="29">
        <f t="shared" si="104"/>
        <v>1420</v>
      </c>
      <c r="R410" s="210"/>
      <c r="S410" s="210"/>
      <c r="Z410" s="233">
        <v>0</v>
      </c>
      <c r="AA410" s="226">
        <f>D410+Z410</f>
        <v>1420</v>
      </c>
      <c r="IQ410" s="80"/>
      <c r="IR410" s="80"/>
      <c r="IS410" s="80"/>
      <c r="IT410" s="80"/>
      <c r="IU410" s="80"/>
    </row>
    <row r="411" spans="2:255" s="77" customFormat="1" ht="16.5" customHeight="1">
      <c r="B411" s="43" t="s">
        <v>35</v>
      </c>
      <c r="C411" s="65"/>
      <c r="D411" s="45">
        <f>G411+J411+M411+P411</f>
        <v>213</v>
      </c>
      <c r="E411" s="45"/>
      <c r="F411" s="53"/>
      <c r="G411" s="33">
        <v>0</v>
      </c>
      <c r="H411" s="45"/>
      <c r="I411" s="53"/>
      <c r="J411" s="33">
        <v>108</v>
      </c>
      <c r="K411" s="45"/>
      <c r="L411" s="53"/>
      <c r="M411" s="33">
        <f aca="true" t="shared" si="114" ref="M411:M419">K411+L411</f>
        <v>0</v>
      </c>
      <c r="N411" s="45"/>
      <c r="O411" s="53"/>
      <c r="P411" s="33">
        <v>105</v>
      </c>
      <c r="Q411" s="29">
        <f t="shared" si="104"/>
        <v>213</v>
      </c>
      <c r="R411" s="210"/>
      <c r="S411" s="210"/>
      <c r="Z411" s="209">
        <v>0</v>
      </c>
      <c r="AA411" s="130">
        <f>D411+Z411</f>
        <v>213</v>
      </c>
      <c r="IQ411" s="80"/>
      <c r="IR411" s="80"/>
      <c r="IS411" s="80"/>
      <c r="IT411" s="80"/>
      <c r="IU411" s="80"/>
    </row>
    <row r="412" spans="2:255" s="77" customFormat="1" ht="16.5" customHeight="1">
      <c r="B412" s="43" t="s">
        <v>36</v>
      </c>
      <c r="C412" s="65"/>
      <c r="D412" s="45">
        <f>G412+J412+M412+P412</f>
        <v>1207</v>
      </c>
      <c r="E412" s="45"/>
      <c r="F412" s="53"/>
      <c r="G412" s="33">
        <v>0</v>
      </c>
      <c r="H412" s="45"/>
      <c r="I412" s="53"/>
      <c r="J412" s="33">
        <v>612</v>
      </c>
      <c r="K412" s="45"/>
      <c r="L412" s="53"/>
      <c r="M412" s="33">
        <f t="shared" si="114"/>
        <v>0</v>
      </c>
      <c r="N412" s="45"/>
      <c r="O412" s="53"/>
      <c r="P412" s="33">
        <v>595</v>
      </c>
      <c r="Q412" s="29">
        <f t="shared" si="104"/>
        <v>1207</v>
      </c>
      <c r="R412" s="210"/>
      <c r="S412" s="210"/>
      <c r="Z412" s="209">
        <v>0</v>
      </c>
      <c r="AA412" s="130">
        <f>D412+Z412</f>
        <v>1207</v>
      </c>
      <c r="IQ412" s="80"/>
      <c r="IR412" s="80"/>
      <c r="IS412" s="80"/>
      <c r="IT412" s="80"/>
      <c r="IU412" s="80"/>
    </row>
    <row r="413" spans="2:255" s="77" customFormat="1" ht="16.5" customHeight="1">
      <c r="B413" s="43" t="s">
        <v>37</v>
      </c>
      <c r="C413" s="65"/>
      <c r="D413" s="45">
        <f>G413+J413+M413+P413</f>
        <v>0</v>
      </c>
      <c r="E413" s="45"/>
      <c r="F413" s="53"/>
      <c r="G413" s="33">
        <f>E413+F413</f>
        <v>0</v>
      </c>
      <c r="H413" s="45"/>
      <c r="I413" s="53"/>
      <c r="J413" s="33">
        <f>H413+I413</f>
        <v>0</v>
      </c>
      <c r="K413" s="45"/>
      <c r="L413" s="53"/>
      <c r="M413" s="33">
        <f t="shared" si="114"/>
        <v>0</v>
      </c>
      <c r="N413" s="45"/>
      <c r="O413" s="53"/>
      <c r="P413" s="33">
        <f>N413+O413</f>
        <v>0</v>
      </c>
      <c r="Q413" s="29">
        <f t="shared" si="104"/>
        <v>0</v>
      </c>
      <c r="R413" s="210"/>
      <c r="S413" s="210"/>
      <c r="Z413" s="209">
        <v>0</v>
      </c>
      <c r="AA413" s="130">
        <f>D413+Z413</f>
        <v>0</v>
      </c>
      <c r="IQ413" s="80"/>
      <c r="IR413" s="80"/>
      <c r="IS413" s="80"/>
      <c r="IT413" s="80"/>
      <c r="IU413" s="80"/>
    </row>
    <row r="414" spans="2:255" s="77" customFormat="1" ht="16.5" customHeight="1" hidden="1">
      <c r="B414" s="38"/>
      <c r="C414" s="65"/>
      <c r="D414" s="45"/>
      <c r="E414" s="45"/>
      <c r="F414" s="53"/>
      <c r="G414" s="33">
        <f>E414+F414</f>
        <v>0</v>
      </c>
      <c r="H414" s="45"/>
      <c r="I414" s="53"/>
      <c r="J414" s="33">
        <f>H414+I414</f>
        <v>0</v>
      </c>
      <c r="K414" s="45"/>
      <c r="L414" s="53"/>
      <c r="M414" s="33">
        <f t="shared" si="114"/>
        <v>0</v>
      </c>
      <c r="N414" s="45"/>
      <c r="O414" s="53"/>
      <c r="P414" s="33">
        <f>N414+O414</f>
        <v>0</v>
      </c>
      <c r="Q414" s="29">
        <f t="shared" si="104"/>
        <v>0</v>
      </c>
      <c r="R414" s="210"/>
      <c r="S414" s="210"/>
      <c r="Z414" s="209"/>
      <c r="AA414" s="209"/>
      <c r="IQ414" s="80"/>
      <c r="IR414" s="80"/>
      <c r="IS414" s="80"/>
      <c r="IT414" s="80"/>
      <c r="IU414" s="80"/>
    </row>
    <row r="415" spans="2:255" s="87" customFormat="1" ht="16.5" customHeight="1" hidden="1">
      <c r="B415" s="39"/>
      <c r="C415" s="28"/>
      <c r="D415" s="101">
        <f>G415+J415+M415+P415</f>
        <v>1420</v>
      </c>
      <c r="E415" s="101">
        <f>E416+E417+E418+E419</f>
        <v>0</v>
      </c>
      <c r="F415" s="102"/>
      <c r="G415" s="29">
        <f>E415+F415</f>
        <v>0</v>
      </c>
      <c r="H415" s="101">
        <f>H416+H417+H418+H419</f>
        <v>0</v>
      </c>
      <c r="I415" s="102"/>
      <c r="J415" s="29">
        <f>SUM(J416:J419)</f>
        <v>720</v>
      </c>
      <c r="K415" s="101">
        <f>K416+K417+K418+K419</f>
        <v>0</v>
      </c>
      <c r="L415" s="102"/>
      <c r="M415" s="29">
        <f t="shared" si="114"/>
        <v>0</v>
      </c>
      <c r="N415" s="101">
        <f>N416+N417+N418+N419</f>
        <v>0</v>
      </c>
      <c r="O415" s="102"/>
      <c r="P415" s="29">
        <f>SUM(P416:P419)</f>
        <v>700</v>
      </c>
      <c r="Q415" s="29">
        <f t="shared" si="104"/>
        <v>1420</v>
      </c>
      <c r="R415" s="211"/>
      <c r="S415" s="211"/>
      <c r="Z415" s="223"/>
      <c r="AA415" s="223"/>
      <c r="IQ415" s="90"/>
      <c r="IR415" s="90"/>
      <c r="IS415" s="90"/>
      <c r="IT415" s="90"/>
      <c r="IU415" s="90"/>
    </row>
    <row r="416" spans="2:255" s="77" customFormat="1" ht="16.5" customHeight="1" hidden="1">
      <c r="B416" s="38" t="s">
        <v>38</v>
      </c>
      <c r="C416" s="65"/>
      <c r="D416" s="45">
        <f>G416+J416+M416+P416</f>
        <v>185</v>
      </c>
      <c r="E416" s="45"/>
      <c r="F416" s="53"/>
      <c r="G416" s="33">
        <v>0</v>
      </c>
      <c r="H416" s="45"/>
      <c r="I416" s="53"/>
      <c r="J416" s="33">
        <v>94</v>
      </c>
      <c r="K416" s="45"/>
      <c r="L416" s="53"/>
      <c r="M416" s="33">
        <f t="shared" si="114"/>
        <v>0</v>
      </c>
      <c r="N416" s="45"/>
      <c r="O416" s="53"/>
      <c r="P416" s="33">
        <v>91</v>
      </c>
      <c r="Q416" s="29">
        <f t="shared" si="104"/>
        <v>185</v>
      </c>
      <c r="R416" s="210"/>
      <c r="S416" s="210"/>
      <c r="Z416" s="209"/>
      <c r="AA416" s="209"/>
      <c r="IQ416" s="80"/>
      <c r="IR416" s="80"/>
      <c r="IS416" s="80"/>
      <c r="IT416" s="80"/>
      <c r="IU416" s="80"/>
    </row>
    <row r="417" spans="2:255" s="77" customFormat="1" ht="16.5" customHeight="1" hidden="1">
      <c r="B417" s="38" t="s">
        <v>39</v>
      </c>
      <c r="C417" s="65"/>
      <c r="D417" s="45">
        <f>G417+J417+M417+P417</f>
        <v>1207</v>
      </c>
      <c r="E417" s="45"/>
      <c r="F417" s="53"/>
      <c r="G417" s="33">
        <v>0</v>
      </c>
      <c r="H417" s="45"/>
      <c r="I417" s="53"/>
      <c r="J417" s="33">
        <f>J412</f>
        <v>612</v>
      </c>
      <c r="K417" s="45"/>
      <c r="L417" s="53"/>
      <c r="M417" s="33">
        <f t="shared" si="114"/>
        <v>0</v>
      </c>
      <c r="N417" s="45"/>
      <c r="O417" s="53"/>
      <c r="P417" s="33">
        <f>P412</f>
        <v>595</v>
      </c>
      <c r="Q417" s="29">
        <f t="shared" si="104"/>
        <v>1207</v>
      </c>
      <c r="R417" s="210"/>
      <c r="S417" s="210"/>
      <c r="Z417" s="209"/>
      <c r="AA417" s="209"/>
      <c r="IQ417" s="80"/>
      <c r="IR417" s="80"/>
      <c r="IS417" s="80"/>
      <c r="IT417" s="80"/>
      <c r="IU417" s="80"/>
    </row>
    <row r="418" spans="2:255" s="77" customFormat="1" ht="16.5" customHeight="1" hidden="1">
      <c r="B418" s="38" t="s">
        <v>40</v>
      </c>
      <c r="C418" s="65"/>
      <c r="D418" s="45">
        <f>G418+J418+M418+P418</f>
        <v>0</v>
      </c>
      <c r="E418" s="45"/>
      <c r="F418" s="53"/>
      <c r="G418" s="33">
        <f>E418+F418</f>
        <v>0</v>
      </c>
      <c r="H418" s="45"/>
      <c r="I418" s="53"/>
      <c r="J418" s="33">
        <f>H418+I418</f>
        <v>0</v>
      </c>
      <c r="K418" s="45"/>
      <c r="L418" s="53"/>
      <c r="M418" s="33">
        <f t="shared" si="114"/>
        <v>0</v>
      </c>
      <c r="N418" s="45"/>
      <c r="O418" s="53"/>
      <c r="P418" s="33">
        <f>N418+O418</f>
        <v>0</v>
      </c>
      <c r="Q418" s="29">
        <f t="shared" si="104"/>
        <v>0</v>
      </c>
      <c r="R418" s="210"/>
      <c r="S418" s="210"/>
      <c r="Z418" s="209"/>
      <c r="AA418" s="209"/>
      <c r="IQ418" s="80"/>
      <c r="IR418" s="80"/>
      <c r="IS418" s="80"/>
      <c r="IT418" s="80"/>
      <c r="IU418" s="80"/>
    </row>
    <row r="419" spans="2:255" s="93" customFormat="1" ht="30" hidden="1">
      <c r="B419" s="49" t="s">
        <v>41</v>
      </c>
      <c r="C419" s="94"/>
      <c r="D419" s="45">
        <f>G419+J419+M419+P419</f>
        <v>28</v>
      </c>
      <c r="E419" s="45"/>
      <c r="F419" s="53"/>
      <c r="G419" s="33">
        <v>0</v>
      </c>
      <c r="H419" s="45"/>
      <c r="I419" s="53"/>
      <c r="J419" s="33">
        <v>14</v>
      </c>
      <c r="K419" s="45"/>
      <c r="L419" s="53"/>
      <c r="M419" s="33">
        <f t="shared" si="114"/>
        <v>0</v>
      </c>
      <c r="N419" s="45"/>
      <c r="O419" s="53"/>
      <c r="P419" s="33">
        <v>14</v>
      </c>
      <c r="Q419" s="29">
        <f t="shared" si="104"/>
        <v>28</v>
      </c>
      <c r="R419" s="212"/>
      <c r="S419" s="212"/>
      <c r="Z419" s="216"/>
      <c r="AA419" s="216"/>
      <c r="IQ419" s="95"/>
      <c r="IR419" s="95"/>
      <c r="IS419" s="95"/>
      <c r="IT419" s="95"/>
      <c r="IU419" s="95"/>
    </row>
    <row r="420" spans="1:255" s="77" customFormat="1" ht="34.5" customHeight="1">
      <c r="A420" s="77">
        <v>43</v>
      </c>
      <c r="B420" s="78" t="s">
        <v>100</v>
      </c>
      <c r="C420" s="23" t="s">
        <v>109</v>
      </c>
      <c r="D420" s="41">
        <f>G420+J420</f>
        <v>35299</v>
      </c>
      <c r="E420" s="41">
        <f aca="true" t="shared" si="115" ref="E420:Q420">E421+E422+E423</f>
        <v>0</v>
      </c>
      <c r="F420" s="41">
        <f t="shared" si="115"/>
        <v>0</v>
      </c>
      <c r="G420" s="41">
        <f t="shared" si="115"/>
        <v>12019</v>
      </c>
      <c r="H420" s="41">
        <f t="shared" si="115"/>
        <v>0</v>
      </c>
      <c r="I420" s="41">
        <f t="shared" si="115"/>
        <v>0</v>
      </c>
      <c r="J420" s="41">
        <f t="shared" si="115"/>
        <v>23280</v>
      </c>
      <c r="K420" s="41">
        <f t="shared" si="115"/>
        <v>0</v>
      </c>
      <c r="L420" s="41">
        <f t="shared" si="115"/>
        <v>0</v>
      </c>
      <c r="M420" s="41">
        <f t="shared" si="115"/>
        <v>0</v>
      </c>
      <c r="N420" s="41">
        <f t="shared" si="115"/>
        <v>0</v>
      </c>
      <c r="O420" s="41">
        <f t="shared" si="115"/>
        <v>0</v>
      </c>
      <c r="P420" s="41">
        <f t="shared" si="115"/>
        <v>0</v>
      </c>
      <c r="Q420" s="41">
        <f t="shared" si="115"/>
        <v>35299</v>
      </c>
      <c r="R420" s="210"/>
      <c r="S420" s="210"/>
      <c r="Z420" s="209">
        <f>Z422</f>
        <v>-516</v>
      </c>
      <c r="AA420" s="226">
        <f>D420+Z420</f>
        <v>34783</v>
      </c>
      <c r="IQ420" s="80"/>
      <c r="IR420" s="80"/>
      <c r="IS420" s="80"/>
      <c r="IT420" s="80"/>
      <c r="IU420" s="80"/>
    </row>
    <row r="421" spans="2:255" s="77" customFormat="1" ht="16.5" customHeight="1">
      <c r="B421" s="31" t="s">
        <v>22</v>
      </c>
      <c r="C421" s="32" t="s">
        <v>23</v>
      </c>
      <c r="D421" s="82">
        <f>G421+J421</f>
        <v>29229</v>
      </c>
      <c r="E421" s="82">
        <v>0</v>
      </c>
      <c r="F421" s="83"/>
      <c r="G421" s="29">
        <v>10100</v>
      </c>
      <c r="H421" s="82"/>
      <c r="I421" s="83"/>
      <c r="J421" s="29">
        <v>19129</v>
      </c>
      <c r="K421" s="82">
        <v>0</v>
      </c>
      <c r="L421" s="83"/>
      <c r="M421" s="29">
        <f>K421+L421</f>
        <v>0</v>
      </c>
      <c r="N421" s="82">
        <v>0</v>
      </c>
      <c r="O421" s="83"/>
      <c r="P421" s="29">
        <f>N421+O421</f>
        <v>0</v>
      </c>
      <c r="Q421" s="29">
        <f>G421+J421+M421+P421</f>
        <v>29229</v>
      </c>
      <c r="R421" s="210"/>
      <c r="S421" s="210"/>
      <c r="Z421" s="209">
        <v>0</v>
      </c>
      <c r="AA421" s="130">
        <f>D421+Z421</f>
        <v>29229</v>
      </c>
      <c r="IQ421" s="80"/>
      <c r="IR421" s="80"/>
      <c r="IS421" s="80"/>
      <c r="IT421" s="80"/>
      <c r="IU421" s="80"/>
    </row>
    <row r="422" spans="2:255" s="77" customFormat="1" ht="16.5" customHeight="1">
      <c r="B422" s="31" t="s">
        <v>24</v>
      </c>
      <c r="C422" s="32" t="s">
        <v>25</v>
      </c>
      <c r="D422" s="82">
        <f>G422+J422</f>
        <v>516</v>
      </c>
      <c r="E422" s="82">
        <v>0</v>
      </c>
      <c r="F422" s="83"/>
      <c r="G422" s="29">
        <f>E422+F422</f>
        <v>0</v>
      </c>
      <c r="H422" s="82">
        <v>0</v>
      </c>
      <c r="I422" s="83"/>
      <c r="J422" s="29">
        <v>516</v>
      </c>
      <c r="K422" s="82">
        <v>0</v>
      </c>
      <c r="L422" s="83"/>
      <c r="M422" s="29">
        <f>K422+L422</f>
        <v>0</v>
      </c>
      <c r="N422" s="82">
        <v>0</v>
      </c>
      <c r="O422" s="83"/>
      <c r="P422" s="29">
        <f>N422+O422</f>
        <v>0</v>
      </c>
      <c r="Q422" s="29">
        <f>G422+J422+M422+P422</f>
        <v>516</v>
      </c>
      <c r="R422" s="210"/>
      <c r="S422" s="210"/>
      <c r="Z422" s="209">
        <v>-516</v>
      </c>
      <c r="AA422" s="130">
        <f>D422+Z422</f>
        <v>0</v>
      </c>
      <c r="IQ422" s="80"/>
      <c r="IR422" s="80"/>
      <c r="IS422" s="80"/>
      <c r="IT422" s="80"/>
      <c r="IU422" s="80"/>
    </row>
    <row r="423" spans="2:255" s="77" customFormat="1" ht="15.75" customHeight="1">
      <c r="B423" s="37" t="s">
        <v>26</v>
      </c>
      <c r="C423" s="32" t="s">
        <v>27</v>
      </c>
      <c r="D423" s="82">
        <f>G423+J423</f>
        <v>5554</v>
      </c>
      <c r="E423" s="82">
        <v>0</v>
      </c>
      <c r="F423" s="82"/>
      <c r="G423" s="29">
        <v>1919</v>
      </c>
      <c r="H423" s="82"/>
      <c r="I423" s="82"/>
      <c r="J423" s="29">
        <v>3635</v>
      </c>
      <c r="K423" s="82">
        <v>0</v>
      </c>
      <c r="L423" s="82"/>
      <c r="M423" s="29">
        <f>K423+L423</f>
        <v>0</v>
      </c>
      <c r="N423" s="82">
        <v>0</v>
      </c>
      <c r="O423" s="82"/>
      <c r="P423" s="29">
        <f>N423+O423</f>
        <v>0</v>
      </c>
      <c r="Q423" s="29">
        <f>G423+J423+M423+P423</f>
        <v>5554</v>
      </c>
      <c r="R423" s="210"/>
      <c r="S423" s="210"/>
      <c r="Z423" s="209">
        <v>0</v>
      </c>
      <c r="AA423" s="130">
        <f>D423+Z423</f>
        <v>5554</v>
      </c>
      <c r="IQ423" s="80"/>
      <c r="IR423" s="80"/>
      <c r="IS423" s="80"/>
      <c r="IT423" s="80"/>
      <c r="IU423" s="80"/>
    </row>
    <row r="424" spans="2:255" s="77" customFormat="1" ht="15.75" customHeight="1" hidden="1">
      <c r="B424" s="38"/>
      <c r="C424" s="23"/>
      <c r="D424" s="101">
        <f>D425+D426+D427+D428</f>
        <v>35299</v>
      </c>
      <c r="E424" s="82"/>
      <c r="F424" s="82"/>
      <c r="G424" s="101">
        <f aca="true" t="shared" si="116" ref="G424:P424">G425+G426+G427+G428</f>
        <v>12019</v>
      </c>
      <c r="H424" s="101">
        <f t="shared" si="116"/>
        <v>0</v>
      </c>
      <c r="I424" s="101">
        <f t="shared" si="116"/>
        <v>0</v>
      </c>
      <c r="J424" s="101">
        <f t="shared" si="116"/>
        <v>23280</v>
      </c>
      <c r="K424" s="101">
        <f t="shared" si="116"/>
        <v>0</v>
      </c>
      <c r="L424" s="101">
        <f t="shared" si="116"/>
        <v>0</v>
      </c>
      <c r="M424" s="101">
        <f t="shared" si="116"/>
        <v>0</v>
      </c>
      <c r="N424" s="101">
        <f t="shared" si="116"/>
        <v>0</v>
      </c>
      <c r="O424" s="101">
        <f t="shared" si="116"/>
        <v>0</v>
      </c>
      <c r="P424" s="101">
        <f t="shared" si="116"/>
        <v>0</v>
      </c>
      <c r="Q424" s="29"/>
      <c r="R424" s="210"/>
      <c r="S424" s="210"/>
      <c r="Z424" s="209"/>
      <c r="AA424" s="209"/>
      <c r="IQ424" s="80"/>
      <c r="IR424" s="80"/>
      <c r="IS424" s="80"/>
      <c r="IT424" s="80"/>
      <c r="IU424" s="80"/>
    </row>
    <row r="425" spans="2:255" s="77" customFormat="1" ht="15" customHeight="1" hidden="1">
      <c r="B425" s="37" t="s">
        <v>28</v>
      </c>
      <c r="C425" s="40" t="s">
        <v>23</v>
      </c>
      <c r="D425" s="82">
        <f>G425+J425</f>
        <v>29229</v>
      </c>
      <c r="E425" s="82">
        <v>0</v>
      </c>
      <c r="F425" s="82"/>
      <c r="G425" s="29">
        <f>G421</f>
        <v>10100</v>
      </c>
      <c r="H425" s="82"/>
      <c r="I425" s="82">
        <f>I421</f>
        <v>0</v>
      </c>
      <c r="J425" s="29">
        <f>J421</f>
        <v>19129</v>
      </c>
      <c r="K425" s="82">
        <v>0</v>
      </c>
      <c r="L425" s="82"/>
      <c r="M425" s="29">
        <f>K425+L425</f>
        <v>0</v>
      </c>
      <c r="N425" s="82">
        <v>0</v>
      </c>
      <c r="O425" s="82"/>
      <c r="P425" s="29">
        <f>N425+O425</f>
        <v>0</v>
      </c>
      <c r="Q425" s="29">
        <f>G425+J425+M425+P425</f>
        <v>29229</v>
      </c>
      <c r="R425" s="210"/>
      <c r="S425" s="210"/>
      <c r="Z425" s="209"/>
      <c r="AA425" s="209"/>
      <c r="IQ425" s="80"/>
      <c r="IR425" s="80"/>
      <c r="IS425" s="80"/>
      <c r="IT425" s="80"/>
      <c r="IU425" s="80"/>
    </row>
    <row r="426" spans="2:255" s="77" customFormat="1" ht="17.25" customHeight="1" hidden="1">
      <c r="B426" s="37" t="s">
        <v>29</v>
      </c>
      <c r="C426" s="40" t="s">
        <v>30</v>
      </c>
      <c r="D426" s="82">
        <f>SUM(E426:K426)</f>
        <v>0</v>
      </c>
      <c r="E426" s="82"/>
      <c r="F426" s="82"/>
      <c r="G426" s="29">
        <f>E426+F426</f>
        <v>0</v>
      </c>
      <c r="H426" s="82"/>
      <c r="I426" s="82"/>
      <c r="J426" s="29">
        <f>H426+I426</f>
        <v>0</v>
      </c>
      <c r="K426" s="82"/>
      <c r="L426" s="82"/>
      <c r="M426" s="29">
        <f>K426+L426</f>
        <v>0</v>
      </c>
      <c r="N426" s="82"/>
      <c r="O426" s="82"/>
      <c r="P426" s="29">
        <f>N426+O426</f>
        <v>0</v>
      </c>
      <c r="Q426" s="29">
        <f>G426+J426+M426+P426</f>
        <v>0</v>
      </c>
      <c r="R426" s="210"/>
      <c r="S426" s="210"/>
      <c r="Z426" s="209"/>
      <c r="AA426" s="209"/>
      <c r="IQ426" s="80"/>
      <c r="IR426" s="80"/>
      <c r="IS426" s="80"/>
      <c r="IT426" s="80"/>
      <c r="IU426" s="80"/>
    </row>
    <row r="427" spans="2:255" s="93" customFormat="1" ht="15" hidden="1">
      <c r="B427" s="37" t="s">
        <v>31</v>
      </c>
      <c r="C427" s="40" t="s">
        <v>27</v>
      </c>
      <c r="D427" s="82">
        <f>G427+J427</f>
        <v>5554</v>
      </c>
      <c r="E427" s="82"/>
      <c r="F427" s="82"/>
      <c r="G427" s="29">
        <f>G423</f>
        <v>1919</v>
      </c>
      <c r="H427" s="82"/>
      <c r="I427" s="82">
        <f>I423</f>
        <v>0</v>
      </c>
      <c r="J427" s="29">
        <f>J423</f>
        <v>3635</v>
      </c>
      <c r="K427" s="82"/>
      <c r="L427" s="82"/>
      <c r="M427" s="29">
        <f>K427+L427</f>
        <v>0</v>
      </c>
      <c r="N427" s="82"/>
      <c r="O427" s="82"/>
      <c r="P427" s="29">
        <f>N427+O427</f>
        <v>0</v>
      </c>
      <c r="Q427" s="29">
        <f>G427+J427+M427+P427</f>
        <v>5554</v>
      </c>
      <c r="R427" s="212"/>
      <c r="S427" s="212"/>
      <c r="Z427" s="216"/>
      <c r="AA427" s="216"/>
      <c r="IQ427" s="95"/>
      <c r="IR427" s="95"/>
      <c r="IS427" s="95"/>
      <c r="IT427" s="95"/>
      <c r="IU427" s="95"/>
    </row>
    <row r="428" spans="2:255" s="93" customFormat="1" ht="30" hidden="1">
      <c r="B428" s="49" t="s">
        <v>41</v>
      </c>
      <c r="C428" s="94"/>
      <c r="D428" s="82">
        <f>J428</f>
        <v>516</v>
      </c>
      <c r="E428" s="82"/>
      <c r="F428" s="82"/>
      <c r="G428" s="29">
        <v>0</v>
      </c>
      <c r="H428" s="82"/>
      <c r="I428" s="82"/>
      <c r="J428" s="29">
        <f>J422</f>
        <v>516</v>
      </c>
      <c r="K428" s="82"/>
      <c r="L428" s="82"/>
      <c r="M428" s="29">
        <f>K428+L428</f>
        <v>0</v>
      </c>
      <c r="N428" s="82"/>
      <c r="O428" s="82"/>
      <c r="P428" s="29">
        <f>N428+O428</f>
        <v>0</v>
      </c>
      <c r="Q428" s="29">
        <f>G428+J428+M428+P428</f>
        <v>516</v>
      </c>
      <c r="R428" s="212"/>
      <c r="S428" s="212"/>
      <c r="Z428" s="216"/>
      <c r="AA428" s="216"/>
      <c r="IQ428" s="95"/>
      <c r="IR428" s="95"/>
      <c r="IS428" s="95"/>
      <c r="IT428" s="95"/>
      <c r="IU428" s="95"/>
    </row>
    <row r="429" spans="1:255" s="93" customFormat="1" ht="30.75">
      <c r="A429" s="77">
        <v>44</v>
      </c>
      <c r="B429" s="78" t="s">
        <v>100</v>
      </c>
      <c r="C429" s="112" t="s">
        <v>110</v>
      </c>
      <c r="D429" s="41">
        <f>D430+D431+D432</f>
        <v>28302</v>
      </c>
      <c r="E429" s="41"/>
      <c r="F429" s="41"/>
      <c r="G429" s="41">
        <f>G430+G432</f>
        <v>496</v>
      </c>
      <c r="H429" s="41"/>
      <c r="I429" s="41"/>
      <c r="J429" s="41">
        <f>J430+J432</f>
        <v>27806</v>
      </c>
      <c r="K429" s="41">
        <f aca="true" t="shared" si="117" ref="K429:P429">K430+K431+K432</f>
        <v>0</v>
      </c>
      <c r="L429" s="41">
        <f t="shared" si="117"/>
        <v>0</v>
      </c>
      <c r="M429" s="41">
        <f t="shared" si="117"/>
        <v>0</v>
      </c>
      <c r="N429" s="41">
        <f t="shared" si="117"/>
        <v>0</v>
      </c>
      <c r="O429" s="41">
        <f t="shared" si="117"/>
        <v>0</v>
      </c>
      <c r="P429" s="41">
        <f t="shared" si="117"/>
        <v>0</v>
      </c>
      <c r="Q429" s="29"/>
      <c r="R429" s="212"/>
      <c r="S429" s="212"/>
      <c r="Z429" s="233">
        <v>0</v>
      </c>
      <c r="AA429" s="226">
        <f>D429+Z429</f>
        <v>28302</v>
      </c>
      <c r="IQ429" s="95"/>
      <c r="IR429" s="95"/>
      <c r="IS429" s="95"/>
      <c r="IT429" s="95"/>
      <c r="IU429" s="95"/>
    </row>
    <row r="430" spans="1:255" s="93" customFormat="1" ht="15">
      <c r="A430" s="77"/>
      <c r="B430" s="31" t="s">
        <v>22</v>
      </c>
      <c r="C430" s="32" t="s">
        <v>23</v>
      </c>
      <c r="D430" s="82">
        <f>G430+J430</f>
        <v>23783</v>
      </c>
      <c r="E430" s="82"/>
      <c r="F430" s="83"/>
      <c r="G430" s="29">
        <v>417</v>
      </c>
      <c r="H430" s="82"/>
      <c r="I430" s="83"/>
      <c r="J430" s="29">
        <v>23366</v>
      </c>
      <c r="K430" s="82">
        <v>0</v>
      </c>
      <c r="L430" s="83"/>
      <c r="M430" s="29">
        <f>K430+L430</f>
        <v>0</v>
      </c>
      <c r="N430" s="82">
        <v>0</v>
      </c>
      <c r="O430" s="83"/>
      <c r="P430" s="29">
        <f>N430+O430</f>
        <v>0</v>
      </c>
      <c r="Q430" s="29"/>
      <c r="R430" s="212"/>
      <c r="S430" s="212"/>
      <c r="Z430" s="209">
        <v>0</v>
      </c>
      <c r="AA430" s="130">
        <f>D430+Z430</f>
        <v>23783</v>
      </c>
      <c r="IQ430" s="95"/>
      <c r="IR430" s="95"/>
      <c r="IS430" s="95"/>
      <c r="IT430" s="95"/>
      <c r="IU430" s="95"/>
    </row>
    <row r="431" spans="1:255" s="93" customFormat="1" ht="15">
      <c r="A431" s="77"/>
      <c r="B431" s="31" t="s">
        <v>24</v>
      </c>
      <c r="C431" s="32" t="s">
        <v>25</v>
      </c>
      <c r="D431" s="82"/>
      <c r="E431" s="82"/>
      <c r="F431" s="83"/>
      <c r="G431" s="29"/>
      <c r="H431" s="82"/>
      <c r="I431" s="83"/>
      <c r="J431" s="29"/>
      <c r="K431" s="82">
        <v>0</v>
      </c>
      <c r="L431" s="83"/>
      <c r="M431" s="29">
        <f>K431+L431</f>
        <v>0</v>
      </c>
      <c r="N431" s="82">
        <v>0</v>
      </c>
      <c r="O431" s="83"/>
      <c r="P431" s="29">
        <f>N431+O431</f>
        <v>0</v>
      </c>
      <c r="Q431" s="29"/>
      <c r="R431" s="212"/>
      <c r="S431" s="212"/>
      <c r="Z431" s="209">
        <v>0</v>
      </c>
      <c r="AA431" s="130">
        <f>D431+Z431</f>
        <v>0</v>
      </c>
      <c r="IQ431" s="95"/>
      <c r="IR431" s="95"/>
      <c r="IS431" s="95"/>
      <c r="IT431" s="95"/>
      <c r="IU431" s="95"/>
    </row>
    <row r="432" spans="1:255" s="93" customFormat="1" ht="15" customHeight="1">
      <c r="A432" s="77"/>
      <c r="B432" s="37" t="s">
        <v>26</v>
      </c>
      <c r="C432" s="32" t="s">
        <v>27</v>
      </c>
      <c r="D432" s="82">
        <f>G432+J432</f>
        <v>4519</v>
      </c>
      <c r="E432" s="82"/>
      <c r="F432" s="83"/>
      <c r="G432" s="29">
        <v>79</v>
      </c>
      <c r="H432" s="82"/>
      <c r="I432" s="83"/>
      <c r="J432" s="29">
        <v>4440</v>
      </c>
      <c r="K432" s="82">
        <v>0</v>
      </c>
      <c r="L432" s="83"/>
      <c r="M432" s="29">
        <f>K432+L432</f>
        <v>0</v>
      </c>
      <c r="N432" s="82">
        <v>0</v>
      </c>
      <c r="O432" s="83"/>
      <c r="P432" s="29">
        <f>N432+O432</f>
        <v>0</v>
      </c>
      <c r="Q432" s="29"/>
      <c r="R432" s="212"/>
      <c r="S432" s="212"/>
      <c r="Z432" s="209">
        <v>0</v>
      </c>
      <c r="AA432" s="130">
        <f>D432+Z432</f>
        <v>4519</v>
      </c>
      <c r="IQ432" s="95"/>
      <c r="IR432" s="95"/>
      <c r="IS432" s="95"/>
      <c r="IT432" s="95"/>
      <c r="IU432" s="95"/>
    </row>
    <row r="433" spans="1:255" s="93" customFormat="1" ht="16.5" customHeight="1" hidden="1">
      <c r="A433" s="77"/>
      <c r="B433" s="38"/>
      <c r="C433" s="23"/>
      <c r="D433" s="82"/>
      <c r="E433" s="82"/>
      <c r="F433" s="83"/>
      <c r="G433" s="29"/>
      <c r="H433" s="82"/>
      <c r="I433" s="83"/>
      <c r="J433" s="29"/>
      <c r="K433" s="82"/>
      <c r="L433" s="83"/>
      <c r="M433" s="29"/>
      <c r="N433" s="82"/>
      <c r="O433" s="83"/>
      <c r="P433" s="29"/>
      <c r="Q433" s="29"/>
      <c r="R433" s="212"/>
      <c r="S433" s="212"/>
      <c r="Z433" s="216"/>
      <c r="AA433" s="216"/>
      <c r="IQ433" s="95"/>
      <c r="IR433" s="95"/>
      <c r="IS433" s="95"/>
      <c r="IT433" s="95"/>
      <c r="IU433" s="95"/>
    </row>
    <row r="434" spans="1:255" s="93" customFormat="1" ht="23.25" customHeight="1" hidden="1">
      <c r="A434" s="77"/>
      <c r="B434" s="38"/>
      <c r="C434" s="23"/>
      <c r="D434" s="101">
        <f>D435+D437</f>
        <v>28302</v>
      </c>
      <c r="E434" s="101"/>
      <c r="F434" s="102"/>
      <c r="G434" s="29">
        <f>G435+G437</f>
        <v>496</v>
      </c>
      <c r="H434" s="101"/>
      <c r="I434" s="102"/>
      <c r="J434" s="29">
        <f>J435+J437</f>
        <v>27806</v>
      </c>
      <c r="K434" s="101"/>
      <c r="L434" s="102"/>
      <c r="M434" s="29"/>
      <c r="N434" s="101"/>
      <c r="O434" s="102"/>
      <c r="P434" s="29"/>
      <c r="Q434" s="29"/>
      <c r="R434" s="212"/>
      <c r="S434" s="212"/>
      <c r="Z434" s="216"/>
      <c r="AA434" s="216"/>
      <c r="IQ434" s="95"/>
      <c r="IR434" s="95"/>
      <c r="IS434" s="95"/>
      <c r="IT434" s="95"/>
      <c r="IU434" s="95"/>
    </row>
    <row r="435" spans="1:255" s="93" customFormat="1" ht="24" customHeight="1" hidden="1">
      <c r="A435" s="77"/>
      <c r="B435" s="37" t="s">
        <v>28</v>
      </c>
      <c r="C435" s="40" t="s">
        <v>23</v>
      </c>
      <c r="D435" s="82">
        <f>G435+J435</f>
        <v>23783</v>
      </c>
      <c r="E435" s="82"/>
      <c r="F435" s="83"/>
      <c r="G435" s="29">
        <v>417</v>
      </c>
      <c r="H435" s="82"/>
      <c r="I435" s="83"/>
      <c r="J435" s="29">
        <v>23366</v>
      </c>
      <c r="K435" s="82">
        <v>0</v>
      </c>
      <c r="L435" s="83"/>
      <c r="M435" s="29">
        <f>K435+L435</f>
        <v>0</v>
      </c>
      <c r="N435" s="82">
        <v>0</v>
      </c>
      <c r="O435" s="83"/>
      <c r="P435" s="29">
        <f>N435+O435</f>
        <v>0</v>
      </c>
      <c r="Q435" s="29"/>
      <c r="R435" s="212"/>
      <c r="S435" s="212"/>
      <c r="Z435" s="216"/>
      <c r="AA435" s="216"/>
      <c r="IQ435" s="95"/>
      <c r="IR435" s="95"/>
      <c r="IS435" s="95"/>
      <c r="IT435" s="95"/>
      <c r="IU435" s="95"/>
    </row>
    <row r="436" spans="1:255" s="93" customFormat="1" ht="28.5" customHeight="1" hidden="1">
      <c r="A436" s="77"/>
      <c r="B436" s="37" t="s">
        <v>29</v>
      </c>
      <c r="C436" s="40" t="s">
        <v>30</v>
      </c>
      <c r="D436" s="82">
        <f>G436+J436</f>
        <v>0</v>
      </c>
      <c r="E436" s="82"/>
      <c r="F436" s="83"/>
      <c r="G436" s="29"/>
      <c r="H436" s="82"/>
      <c r="I436" s="83"/>
      <c r="J436" s="29"/>
      <c r="K436" s="82"/>
      <c r="L436" s="83"/>
      <c r="M436" s="29">
        <f>K436+L436</f>
        <v>0</v>
      </c>
      <c r="N436" s="82"/>
      <c r="O436" s="83"/>
      <c r="P436" s="29">
        <f>N436+O436</f>
        <v>0</v>
      </c>
      <c r="Q436" s="29"/>
      <c r="R436" s="212"/>
      <c r="S436" s="212"/>
      <c r="Z436" s="216"/>
      <c r="AA436" s="216"/>
      <c r="IQ436" s="95"/>
      <c r="IR436" s="95"/>
      <c r="IS436" s="95"/>
      <c r="IT436" s="95"/>
      <c r="IU436" s="95"/>
    </row>
    <row r="437" spans="2:255" s="93" customFormat="1" ht="21.75" customHeight="1" hidden="1">
      <c r="B437" s="37" t="s">
        <v>31</v>
      </c>
      <c r="C437" s="40" t="s">
        <v>27</v>
      </c>
      <c r="D437" s="82">
        <f>G437+J437</f>
        <v>4519</v>
      </c>
      <c r="E437" s="82"/>
      <c r="F437" s="83"/>
      <c r="G437" s="29">
        <v>79</v>
      </c>
      <c r="H437" s="82"/>
      <c r="I437" s="83"/>
      <c r="J437" s="29">
        <v>4440</v>
      </c>
      <c r="K437" s="82"/>
      <c r="L437" s="83"/>
      <c r="M437" s="29">
        <f>K437+L437</f>
        <v>0</v>
      </c>
      <c r="N437" s="82"/>
      <c r="O437" s="83"/>
      <c r="P437" s="29">
        <f>N437+O437</f>
        <v>0</v>
      </c>
      <c r="Q437" s="29"/>
      <c r="R437" s="212"/>
      <c r="S437" s="212"/>
      <c r="Z437" s="216"/>
      <c r="AA437" s="216"/>
      <c r="IQ437" s="95"/>
      <c r="IR437" s="95"/>
      <c r="IS437" s="95"/>
      <c r="IT437" s="95"/>
      <c r="IU437" s="95"/>
    </row>
    <row r="438" spans="2:255" s="93" customFormat="1" ht="24.75" customHeight="1" hidden="1">
      <c r="B438" s="49" t="s">
        <v>41</v>
      </c>
      <c r="C438" s="94"/>
      <c r="D438" s="82">
        <v>0</v>
      </c>
      <c r="E438" s="82"/>
      <c r="F438" s="83"/>
      <c r="G438" s="29">
        <v>0</v>
      </c>
      <c r="H438" s="82"/>
      <c r="I438" s="83"/>
      <c r="J438" s="29">
        <f>J431</f>
        <v>0</v>
      </c>
      <c r="K438" s="82"/>
      <c r="L438" s="83"/>
      <c r="M438" s="29">
        <f>K438+L438</f>
        <v>0</v>
      </c>
      <c r="N438" s="82"/>
      <c r="O438" s="83"/>
      <c r="P438" s="29">
        <f>N438+O438</f>
        <v>0</v>
      </c>
      <c r="Q438" s="29"/>
      <c r="R438" s="212"/>
      <c r="S438" s="212"/>
      <c r="Z438" s="216"/>
      <c r="AA438" s="216"/>
      <c r="IQ438" s="95"/>
      <c r="IR438" s="95"/>
      <c r="IS438" s="95"/>
      <c r="IT438" s="95"/>
      <c r="IU438" s="95"/>
    </row>
    <row r="439" spans="1:255" s="93" customFormat="1" ht="43.5" customHeight="1">
      <c r="A439" s="93">
        <v>45</v>
      </c>
      <c r="B439" s="78" t="s">
        <v>100</v>
      </c>
      <c r="C439" s="108" t="s">
        <v>111</v>
      </c>
      <c r="D439" s="41">
        <f>G439+J439+M439+P439</f>
        <v>15592</v>
      </c>
      <c r="E439" s="41">
        <f aca="true" t="shared" si="118" ref="E439:Q439">E440+E441</f>
        <v>0</v>
      </c>
      <c r="F439" s="42">
        <f t="shared" si="118"/>
        <v>0</v>
      </c>
      <c r="G439" s="41">
        <f t="shared" si="118"/>
        <v>8</v>
      </c>
      <c r="H439" s="41">
        <f t="shared" si="118"/>
        <v>0</v>
      </c>
      <c r="I439" s="42">
        <f t="shared" si="118"/>
        <v>0</v>
      </c>
      <c r="J439" s="41">
        <f t="shared" si="118"/>
        <v>8065</v>
      </c>
      <c r="K439" s="41">
        <f t="shared" si="118"/>
        <v>0</v>
      </c>
      <c r="L439" s="42">
        <f t="shared" si="118"/>
        <v>0</v>
      </c>
      <c r="M439" s="41">
        <f t="shared" si="118"/>
        <v>4473</v>
      </c>
      <c r="N439" s="41">
        <f t="shared" si="118"/>
        <v>0</v>
      </c>
      <c r="O439" s="42">
        <f t="shared" si="118"/>
        <v>0</v>
      </c>
      <c r="P439" s="41">
        <f t="shared" si="118"/>
        <v>3046</v>
      </c>
      <c r="Q439" s="41">
        <f t="shared" si="118"/>
        <v>15592</v>
      </c>
      <c r="R439" s="212"/>
      <c r="S439" s="212"/>
      <c r="Z439" s="233">
        <v>0</v>
      </c>
      <c r="AA439" s="226">
        <f>D439+Z439</f>
        <v>15592</v>
      </c>
      <c r="IQ439" s="95"/>
      <c r="IR439" s="95"/>
      <c r="IS439" s="95"/>
      <c r="IT439" s="95"/>
      <c r="IU439" s="95"/>
    </row>
    <row r="440" spans="2:255" s="93" customFormat="1" ht="16.5" customHeight="1">
      <c r="B440" s="43" t="s">
        <v>22</v>
      </c>
      <c r="C440" s="106" t="s">
        <v>23</v>
      </c>
      <c r="D440" s="82">
        <f>G440+J440+M440+P440</f>
        <v>13102</v>
      </c>
      <c r="E440" s="82"/>
      <c r="F440" s="83"/>
      <c r="G440" s="29">
        <v>7</v>
      </c>
      <c r="H440" s="82"/>
      <c r="I440" s="83"/>
      <c r="J440" s="29">
        <v>6777</v>
      </c>
      <c r="K440" s="82"/>
      <c r="L440" s="83"/>
      <c r="M440" s="29">
        <v>3758</v>
      </c>
      <c r="N440" s="82"/>
      <c r="O440" s="83"/>
      <c r="P440" s="29">
        <v>2560</v>
      </c>
      <c r="Q440" s="29">
        <f>G440+J440+M440+P440</f>
        <v>13102</v>
      </c>
      <c r="R440" s="212"/>
      <c r="S440" s="212"/>
      <c r="Z440" s="216">
        <v>0</v>
      </c>
      <c r="AA440" s="130">
        <f>D440+Z440</f>
        <v>13102</v>
      </c>
      <c r="IQ440" s="95"/>
      <c r="IR440" s="95"/>
      <c r="IS440" s="95"/>
      <c r="IT440" s="95"/>
      <c r="IU440" s="95"/>
    </row>
    <row r="441" spans="2:255" s="93" customFormat="1" ht="16.5" customHeight="1">
      <c r="B441" s="38" t="s">
        <v>26</v>
      </c>
      <c r="C441" s="106" t="s">
        <v>27</v>
      </c>
      <c r="D441" s="82">
        <f>G441+J441+M441+P441</f>
        <v>2490</v>
      </c>
      <c r="E441" s="82"/>
      <c r="F441" s="83"/>
      <c r="G441" s="29">
        <v>1</v>
      </c>
      <c r="H441" s="82"/>
      <c r="I441" s="83"/>
      <c r="J441" s="29">
        <v>1288</v>
      </c>
      <c r="K441" s="82"/>
      <c r="L441" s="83"/>
      <c r="M441" s="29">
        <v>715</v>
      </c>
      <c r="N441" s="82"/>
      <c r="O441" s="83"/>
      <c r="P441" s="29">
        <v>486</v>
      </c>
      <c r="Q441" s="29">
        <f>G441+J441+M441+P441</f>
        <v>2490</v>
      </c>
      <c r="R441" s="212"/>
      <c r="S441" s="212"/>
      <c r="Z441" s="216">
        <v>0</v>
      </c>
      <c r="AA441" s="130">
        <f>D441+Z441</f>
        <v>2490</v>
      </c>
      <c r="IQ441" s="95"/>
      <c r="IR441" s="95"/>
      <c r="IS441" s="95"/>
      <c r="IT441" s="95"/>
      <c r="IU441" s="95"/>
    </row>
    <row r="442" spans="2:255" s="93" customFormat="1" ht="16.5" customHeight="1" hidden="1">
      <c r="B442" s="38"/>
      <c r="C442" s="43"/>
      <c r="D442" s="82"/>
      <c r="E442" s="82"/>
      <c r="F442" s="83"/>
      <c r="G442" s="29"/>
      <c r="H442" s="82"/>
      <c r="I442" s="83"/>
      <c r="J442" s="29"/>
      <c r="K442" s="82"/>
      <c r="L442" s="83"/>
      <c r="M442" s="29">
        <f>K442+L442</f>
        <v>0</v>
      </c>
      <c r="N442" s="82"/>
      <c r="O442" s="83"/>
      <c r="P442" s="29">
        <f>N442+O442</f>
        <v>0</v>
      </c>
      <c r="Q442" s="29"/>
      <c r="R442" s="212"/>
      <c r="S442" s="212"/>
      <c r="Z442" s="216"/>
      <c r="AA442" s="216"/>
      <c r="IQ442" s="95"/>
      <c r="IR442" s="95"/>
      <c r="IS442" s="95"/>
      <c r="IT442" s="95"/>
      <c r="IU442" s="95"/>
    </row>
    <row r="443" spans="2:255" s="93" customFormat="1" ht="16.5" customHeight="1" hidden="1">
      <c r="B443" s="39"/>
      <c r="C443" s="107"/>
      <c r="D443" s="101">
        <f>G443+J443+M443+P443</f>
        <v>15592</v>
      </c>
      <c r="E443" s="101"/>
      <c r="F443" s="102"/>
      <c r="G443" s="101">
        <f>G444+G446</f>
        <v>8</v>
      </c>
      <c r="H443" s="101"/>
      <c r="I443" s="102"/>
      <c r="J443" s="101">
        <f aca="true" t="shared" si="119" ref="J443:Q443">J444+J446</f>
        <v>8065</v>
      </c>
      <c r="K443" s="101">
        <f t="shared" si="119"/>
        <v>0</v>
      </c>
      <c r="L443" s="102">
        <f t="shared" si="119"/>
        <v>0</v>
      </c>
      <c r="M443" s="101">
        <f t="shared" si="119"/>
        <v>4473</v>
      </c>
      <c r="N443" s="101">
        <f t="shared" si="119"/>
        <v>0</v>
      </c>
      <c r="O443" s="102">
        <f t="shared" si="119"/>
        <v>0</v>
      </c>
      <c r="P443" s="101">
        <f t="shared" si="119"/>
        <v>3046</v>
      </c>
      <c r="Q443" s="101">
        <f t="shared" si="119"/>
        <v>15592</v>
      </c>
      <c r="R443" s="212"/>
      <c r="S443" s="212"/>
      <c r="Z443" s="216"/>
      <c r="AA443" s="216"/>
      <c r="IQ443" s="95"/>
      <c r="IR443" s="95"/>
      <c r="IS443" s="95"/>
      <c r="IT443" s="95"/>
      <c r="IU443" s="95"/>
    </row>
    <row r="444" spans="2:255" s="93" customFormat="1" ht="16.5" customHeight="1" hidden="1">
      <c r="B444" s="37" t="s">
        <v>28</v>
      </c>
      <c r="C444" s="40" t="s">
        <v>23</v>
      </c>
      <c r="D444" s="82">
        <f>G444+J444+M444+P444</f>
        <v>13102</v>
      </c>
      <c r="E444" s="82"/>
      <c r="F444" s="83"/>
      <c r="G444" s="82">
        <v>7</v>
      </c>
      <c r="H444" s="82"/>
      <c r="I444" s="83"/>
      <c r="J444" s="82">
        <f aca="true" t="shared" si="120" ref="J444:Q444">J440</f>
        <v>6777</v>
      </c>
      <c r="K444" s="82">
        <f t="shared" si="120"/>
        <v>0</v>
      </c>
      <c r="L444" s="83">
        <f t="shared" si="120"/>
        <v>0</v>
      </c>
      <c r="M444" s="82">
        <f t="shared" si="120"/>
        <v>3758</v>
      </c>
      <c r="N444" s="82">
        <f t="shared" si="120"/>
        <v>0</v>
      </c>
      <c r="O444" s="83">
        <f t="shared" si="120"/>
        <v>0</v>
      </c>
      <c r="P444" s="82">
        <f t="shared" si="120"/>
        <v>2560</v>
      </c>
      <c r="Q444" s="82">
        <f t="shared" si="120"/>
        <v>13102</v>
      </c>
      <c r="R444" s="212"/>
      <c r="S444" s="212"/>
      <c r="Z444" s="216"/>
      <c r="AA444" s="216"/>
      <c r="IQ444" s="95"/>
      <c r="IR444" s="95"/>
      <c r="IS444" s="95"/>
      <c r="IT444" s="95"/>
      <c r="IU444" s="95"/>
    </row>
    <row r="445" spans="2:255" s="93" customFormat="1" ht="16.5" customHeight="1" hidden="1">
      <c r="B445" s="37" t="s">
        <v>29</v>
      </c>
      <c r="C445" s="40"/>
      <c r="D445" s="82"/>
      <c r="E445" s="82"/>
      <c r="F445" s="83"/>
      <c r="G445" s="82"/>
      <c r="H445" s="82"/>
      <c r="I445" s="83"/>
      <c r="J445" s="82"/>
      <c r="K445" s="82"/>
      <c r="L445" s="83"/>
      <c r="M445" s="82"/>
      <c r="N445" s="82"/>
      <c r="O445" s="83"/>
      <c r="P445" s="82"/>
      <c r="Q445" s="82"/>
      <c r="R445" s="212"/>
      <c r="S445" s="212"/>
      <c r="Z445" s="216"/>
      <c r="AA445" s="216"/>
      <c r="IQ445" s="95"/>
      <c r="IR445" s="95"/>
      <c r="IS445" s="95"/>
      <c r="IT445" s="95"/>
      <c r="IU445" s="95"/>
    </row>
    <row r="446" spans="2:255" s="93" customFormat="1" ht="16.5" customHeight="1" hidden="1">
      <c r="B446" s="37" t="s">
        <v>31</v>
      </c>
      <c r="C446" s="40" t="s">
        <v>27</v>
      </c>
      <c r="D446" s="82">
        <f>G446+J446+M446+P446</f>
        <v>2490</v>
      </c>
      <c r="E446" s="82"/>
      <c r="F446" s="83"/>
      <c r="G446" s="82">
        <v>1</v>
      </c>
      <c r="H446" s="82"/>
      <c r="I446" s="83"/>
      <c r="J446" s="82">
        <f aca="true" t="shared" si="121" ref="J446:Q446">J441</f>
        <v>1288</v>
      </c>
      <c r="K446" s="82">
        <f t="shared" si="121"/>
        <v>0</v>
      </c>
      <c r="L446" s="83">
        <f t="shared" si="121"/>
        <v>0</v>
      </c>
      <c r="M446" s="82">
        <f>M441</f>
        <v>715</v>
      </c>
      <c r="N446" s="82">
        <f t="shared" si="121"/>
        <v>0</v>
      </c>
      <c r="O446" s="83">
        <f t="shared" si="121"/>
        <v>0</v>
      </c>
      <c r="P446" s="82">
        <f t="shared" si="121"/>
        <v>486</v>
      </c>
      <c r="Q446" s="82">
        <f t="shared" si="121"/>
        <v>2490</v>
      </c>
      <c r="R446" s="212"/>
      <c r="S446" s="212"/>
      <c r="Z446" s="216"/>
      <c r="AA446" s="216"/>
      <c r="IQ446" s="95"/>
      <c r="IR446" s="95"/>
      <c r="IS446" s="95"/>
      <c r="IT446" s="95"/>
      <c r="IU446" s="95"/>
    </row>
    <row r="447" spans="2:255" s="87" customFormat="1" ht="17.25" customHeight="1">
      <c r="B447" s="247" t="s">
        <v>112</v>
      </c>
      <c r="C447" s="247"/>
      <c r="D447" s="29">
        <f aca="true" t="shared" si="122" ref="D447:Q447">D343+D353+D363+D439+D372+D420+D390+D380+D400+D410+D429</f>
        <v>101883</v>
      </c>
      <c r="E447" s="29">
        <f t="shared" si="122"/>
        <v>6948</v>
      </c>
      <c r="F447" s="29">
        <f t="shared" si="122"/>
        <v>0</v>
      </c>
      <c r="G447" s="29">
        <f t="shared" si="122"/>
        <v>31809</v>
      </c>
      <c r="H447" s="29">
        <f t="shared" si="122"/>
        <v>6112</v>
      </c>
      <c r="I447" s="29">
        <f t="shared" si="122"/>
        <v>0</v>
      </c>
      <c r="J447" s="29">
        <f t="shared" si="122"/>
        <v>61355</v>
      </c>
      <c r="K447" s="29">
        <f t="shared" si="122"/>
        <v>1155</v>
      </c>
      <c r="L447" s="29">
        <f t="shared" si="122"/>
        <v>0</v>
      </c>
      <c r="M447" s="29">
        <f t="shared" si="122"/>
        <v>4473</v>
      </c>
      <c r="N447" s="29">
        <f t="shared" si="122"/>
        <v>2312</v>
      </c>
      <c r="O447" s="29">
        <f t="shared" si="122"/>
        <v>0</v>
      </c>
      <c r="P447" s="29">
        <f t="shared" si="122"/>
        <v>4246</v>
      </c>
      <c r="Q447" s="29">
        <f t="shared" si="122"/>
        <v>73581</v>
      </c>
      <c r="R447" s="211"/>
      <c r="S447" s="211"/>
      <c r="Z447" s="223">
        <f>Z420</f>
        <v>-516</v>
      </c>
      <c r="AA447" s="226">
        <f>D447+Z447</f>
        <v>101367</v>
      </c>
      <c r="IQ447" s="90"/>
      <c r="IR447" s="90"/>
      <c r="IS447" s="90"/>
      <c r="IT447" s="90"/>
      <c r="IU447" s="90"/>
    </row>
    <row r="448" spans="2:255" s="77" customFormat="1" ht="16.5" customHeight="1">
      <c r="B448" s="253" t="s">
        <v>113</v>
      </c>
      <c r="C448" s="253"/>
      <c r="D448" s="253"/>
      <c r="E448" s="101"/>
      <c r="F448" s="102"/>
      <c r="G448" s="29">
        <f>E448+F448</f>
        <v>0</v>
      </c>
      <c r="H448" s="101"/>
      <c r="I448" s="102"/>
      <c r="J448" s="29">
        <f>H448+I448</f>
        <v>0</v>
      </c>
      <c r="K448" s="101"/>
      <c r="L448" s="102"/>
      <c r="M448" s="29">
        <f>K448+L448</f>
        <v>0</v>
      </c>
      <c r="N448" s="101"/>
      <c r="O448" s="102"/>
      <c r="P448" s="29">
        <f>N448+O448</f>
        <v>0</v>
      </c>
      <c r="Q448" s="29">
        <f aca="true" t="shared" si="123" ref="Q448:Q463">G448+J448+M448+P448</f>
        <v>0</v>
      </c>
      <c r="R448" s="210"/>
      <c r="S448" s="210"/>
      <c r="Z448" s="209"/>
      <c r="AA448" s="209"/>
      <c r="IQ448" s="80"/>
      <c r="IR448" s="80"/>
      <c r="IS448" s="80"/>
      <c r="IT448" s="80"/>
      <c r="IU448" s="80"/>
    </row>
    <row r="449" spans="1:255" s="77" customFormat="1" ht="32.25" customHeight="1">
      <c r="A449" s="77">
        <v>46</v>
      </c>
      <c r="B449" s="104" t="s">
        <v>114</v>
      </c>
      <c r="C449" s="28" t="s">
        <v>115</v>
      </c>
      <c r="D449" s="41">
        <f>D450+D451</f>
        <v>1600</v>
      </c>
      <c r="E449" s="41">
        <v>0</v>
      </c>
      <c r="F449" s="42"/>
      <c r="G449" s="29">
        <f>G450+G451</f>
        <v>100</v>
      </c>
      <c r="H449" s="41">
        <f>H450+H451+H452</f>
        <v>0</v>
      </c>
      <c r="I449" s="42"/>
      <c r="J449" s="29">
        <f aca="true" t="shared" si="124" ref="J449:P449">J450+J451</f>
        <v>0</v>
      </c>
      <c r="K449" s="29">
        <f t="shared" si="124"/>
        <v>0</v>
      </c>
      <c r="L449" s="29">
        <f t="shared" si="124"/>
        <v>0</v>
      </c>
      <c r="M449" s="29">
        <f t="shared" si="124"/>
        <v>0</v>
      </c>
      <c r="N449" s="29">
        <f t="shared" si="124"/>
        <v>0</v>
      </c>
      <c r="O449" s="29">
        <f t="shared" si="124"/>
        <v>0</v>
      </c>
      <c r="P449" s="29">
        <f t="shared" si="124"/>
        <v>1500</v>
      </c>
      <c r="Q449" s="29">
        <f t="shared" si="123"/>
        <v>1600</v>
      </c>
      <c r="R449" s="207"/>
      <c r="S449" s="207"/>
      <c r="T449" s="79"/>
      <c r="Z449" s="233">
        <v>0</v>
      </c>
      <c r="AA449" s="226">
        <f>D449+Z449</f>
        <v>1600</v>
      </c>
      <c r="IQ449" s="80"/>
      <c r="IR449" s="80"/>
      <c r="IS449" s="80"/>
      <c r="IT449" s="80"/>
      <c r="IU449" s="80"/>
    </row>
    <row r="450" spans="2:255" s="77" customFormat="1" ht="16.5" customHeight="1">
      <c r="B450" s="43" t="s">
        <v>35</v>
      </c>
      <c r="C450" s="65"/>
      <c r="D450" s="45">
        <f>G450+J450+M450+P450</f>
        <v>240</v>
      </c>
      <c r="E450" s="45">
        <v>0</v>
      </c>
      <c r="F450" s="53"/>
      <c r="G450" s="33">
        <v>15</v>
      </c>
      <c r="H450" s="45">
        <f>R450*0.15</f>
        <v>0</v>
      </c>
      <c r="I450" s="53"/>
      <c r="J450" s="33">
        <f>H450+I450</f>
        <v>0</v>
      </c>
      <c r="K450" s="45">
        <f>S450*0.15</f>
        <v>0</v>
      </c>
      <c r="L450" s="53"/>
      <c r="M450" s="33">
        <f>K450+L450</f>
        <v>0</v>
      </c>
      <c r="N450" s="45">
        <f>V450*0.15</f>
        <v>0</v>
      </c>
      <c r="O450" s="53"/>
      <c r="P450" s="33">
        <v>225</v>
      </c>
      <c r="Q450" s="29">
        <f t="shared" si="123"/>
        <v>240</v>
      </c>
      <c r="R450" s="243"/>
      <c r="S450" s="244"/>
      <c r="T450" s="245"/>
      <c r="Z450" s="209">
        <v>0</v>
      </c>
      <c r="AA450" s="130">
        <f>D450+Z450</f>
        <v>240</v>
      </c>
      <c r="IQ450" s="80"/>
      <c r="IR450" s="80"/>
      <c r="IS450" s="80"/>
      <c r="IT450" s="80"/>
      <c r="IU450" s="80"/>
    </row>
    <row r="451" spans="2:255" s="77" customFormat="1" ht="16.5" customHeight="1">
      <c r="B451" s="38" t="s">
        <v>36</v>
      </c>
      <c r="C451" s="65"/>
      <c r="D451" s="45">
        <f>G451+J451+M451+P451</f>
        <v>1360</v>
      </c>
      <c r="E451" s="45">
        <v>0</v>
      </c>
      <c r="F451" s="53"/>
      <c r="G451" s="33">
        <v>85</v>
      </c>
      <c r="H451" s="45">
        <f>R450*0.85</f>
        <v>0</v>
      </c>
      <c r="I451" s="53"/>
      <c r="J451" s="33">
        <f>H451+I451</f>
        <v>0</v>
      </c>
      <c r="K451" s="45">
        <f>S450*0.85</f>
        <v>0</v>
      </c>
      <c r="L451" s="53"/>
      <c r="M451" s="33">
        <f>K451+L451</f>
        <v>0</v>
      </c>
      <c r="N451" s="45">
        <f>V450*0.85</f>
        <v>0</v>
      </c>
      <c r="O451" s="53"/>
      <c r="P451" s="33">
        <v>1275</v>
      </c>
      <c r="Q451" s="29">
        <f t="shared" si="123"/>
        <v>1360</v>
      </c>
      <c r="R451" s="243"/>
      <c r="S451" s="243"/>
      <c r="T451" s="245"/>
      <c r="Z451" s="209">
        <v>0</v>
      </c>
      <c r="AA451" s="130">
        <f>D451+Z451</f>
        <v>1360</v>
      </c>
      <c r="IQ451" s="80"/>
      <c r="IR451" s="80"/>
      <c r="IS451" s="80"/>
      <c r="IT451" s="80"/>
      <c r="IU451" s="80"/>
    </row>
    <row r="452" spans="2:255" s="77" customFormat="1" ht="16.5" customHeight="1">
      <c r="B452" s="38" t="s">
        <v>37</v>
      </c>
      <c r="C452" s="65"/>
      <c r="D452" s="41">
        <f>G452+J452+M452+P452</f>
        <v>0</v>
      </c>
      <c r="E452" s="82">
        <v>0</v>
      </c>
      <c r="F452" s="83"/>
      <c r="G452" s="29">
        <v>0</v>
      </c>
      <c r="H452" s="82">
        <v>0</v>
      </c>
      <c r="I452" s="83"/>
      <c r="J452" s="29">
        <f>H452+I452</f>
        <v>0</v>
      </c>
      <c r="K452" s="82">
        <f>S452</f>
        <v>0</v>
      </c>
      <c r="L452" s="83"/>
      <c r="M452" s="29">
        <f>K452+L452</f>
        <v>0</v>
      </c>
      <c r="N452" s="82">
        <f>V452</f>
        <v>0</v>
      </c>
      <c r="O452" s="83"/>
      <c r="P452" s="29">
        <f>N452+O452</f>
        <v>0</v>
      </c>
      <c r="Q452" s="29">
        <f t="shared" si="123"/>
        <v>0</v>
      </c>
      <c r="R452" s="207"/>
      <c r="S452" s="207"/>
      <c r="Z452" s="209">
        <v>0</v>
      </c>
      <c r="AA452" s="130">
        <f>D452+Z452</f>
        <v>0</v>
      </c>
      <c r="IQ452" s="80"/>
      <c r="IR452" s="80"/>
      <c r="IS452" s="80"/>
      <c r="IT452" s="80"/>
      <c r="IU452" s="80"/>
    </row>
    <row r="453" spans="2:255" s="77" customFormat="1" ht="16.5" customHeight="1" hidden="1">
      <c r="B453" s="38"/>
      <c r="C453" s="65"/>
      <c r="D453" s="82"/>
      <c r="E453" s="82"/>
      <c r="F453" s="83"/>
      <c r="G453" s="29">
        <f>E453+F453</f>
        <v>0</v>
      </c>
      <c r="H453" s="82"/>
      <c r="I453" s="83"/>
      <c r="J453" s="29">
        <f>H453+I453</f>
        <v>0</v>
      </c>
      <c r="K453" s="82"/>
      <c r="L453" s="83"/>
      <c r="M453" s="29">
        <f>K453+L453</f>
        <v>0</v>
      </c>
      <c r="N453" s="82"/>
      <c r="O453" s="83"/>
      <c r="P453" s="29">
        <f>N453+O453</f>
        <v>0</v>
      </c>
      <c r="Q453" s="29">
        <f t="shared" si="123"/>
        <v>0</v>
      </c>
      <c r="R453" s="210"/>
      <c r="S453" s="210"/>
      <c r="Z453" s="209"/>
      <c r="AA453" s="209"/>
      <c r="IQ453" s="80"/>
      <c r="IR453" s="80"/>
      <c r="IS453" s="80"/>
      <c r="IT453" s="80"/>
      <c r="IU453" s="80"/>
    </row>
    <row r="454" spans="2:255" s="87" customFormat="1" ht="16.5" customHeight="1" hidden="1">
      <c r="B454" s="39"/>
      <c r="C454" s="28"/>
      <c r="D454" s="88">
        <f aca="true" t="shared" si="125" ref="D454:D459">G454+J454+M454+P454</f>
        <v>1600</v>
      </c>
      <c r="E454" s="88">
        <f>E455+E456+E457+E459+E458</f>
        <v>235.2</v>
      </c>
      <c r="F454" s="89"/>
      <c r="G454" s="29">
        <f>G455+G456+G459</f>
        <v>100</v>
      </c>
      <c r="H454" s="88">
        <f>H455+H456+H457+H459+H458</f>
        <v>0</v>
      </c>
      <c r="I454" s="89"/>
      <c r="J454" s="29">
        <f aca="true" t="shared" si="126" ref="J454:P454">J455+J456+J459</f>
        <v>0</v>
      </c>
      <c r="K454" s="29">
        <f t="shared" si="126"/>
        <v>0</v>
      </c>
      <c r="L454" s="29">
        <f t="shared" si="126"/>
        <v>0</v>
      </c>
      <c r="M454" s="29">
        <f t="shared" si="126"/>
        <v>0</v>
      </c>
      <c r="N454" s="29">
        <f t="shared" si="126"/>
        <v>0</v>
      </c>
      <c r="O454" s="29">
        <f t="shared" si="126"/>
        <v>0</v>
      </c>
      <c r="P454" s="29">
        <f t="shared" si="126"/>
        <v>1500</v>
      </c>
      <c r="Q454" s="29">
        <f t="shared" si="123"/>
        <v>1600</v>
      </c>
      <c r="R454" s="211"/>
      <c r="S454" s="211"/>
      <c r="Z454" s="223"/>
      <c r="AA454" s="223"/>
      <c r="IQ454" s="90"/>
      <c r="IR454" s="90"/>
      <c r="IS454" s="90"/>
      <c r="IT454" s="90"/>
      <c r="IU454" s="90"/>
    </row>
    <row r="455" spans="2:255" s="77" customFormat="1" ht="16.5" customHeight="1" hidden="1">
      <c r="B455" s="38" t="s">
        <v>38</v>
      </c>
      <c r="C455" s="65"/>
      <c r="D455" s="91">
        <f t="shared" si="125"/>
        <v>195</v>
      </c>
      <c r="E455" s="91">
        <f>Q450*0.13</f>
        <v>31.200000000000003</v>
      </c>
      <c r="F455" s="92"/>
      <c r="G455" s="33">
        <v>0</v>
      </c>
      <c r="H455" s="91">
        <f>R450*0.13</f>
        <v>0</v>
      </c>
      <c r="I455" s="92"/>
      <c r="J455" s="29">
        <f aca="true" t="shared" si="127" ref="J455:J463">H455+I455</f>
        <v>0</v>
      </c>
      <c r="K455" s="91">
        <f>S450*0.13</f>
        <v>0</v>
      </c>
      <c r="L455" s="92"/>
      <c r="M455" s="33">
        <v>0</v>
      </c>
      <c r="N455" s="91">
        <f>V450*0.13</f>
        <v>0</v>
      </c>
      <c r="O455" s="92"/>
      <c r="P455" s="33">
        <v>195</v>
      </c>
      <c r="Q455" s="29">
        <f t="shared" si="123"/>
        <v>195</v>
      </c>
      <c r="R455" s="210"/>
      <c r="S455" s="210"/>
      <c r="Z455" s="209"/>
      <c r="AA455" s="209"/>
      <c r="IQ455" s="80"/>
      <c r="IR455" s="80"/>
      <c r="IS455" s="80"/>
      <c r="IT455" s="80"/>
      <c r="IU455" s="80"/>
    </row>
    <row r="456" spans="2:255" s="77" customFormat="1" ht="16.5" customHeight="1" hidden="1">
      <c r="B456" s="38" t="s">
        <v>39</v>
      </c>
      <c r="C456" s="65"/>
      <c r="D456" s="91">
        <f t="shared" si="125"/>
        <v>1275</v>
      </c>
      <c r="E456" s="91">
        <f>Q450*0.85</f>
        <v>204</v>
      </c>
      <c r="F456" s="92"/>
      <c r="G456" s="33">
        <v>0</v>
      </c>
      <c r="H456" s="91">
        <f>R450*0.85</f>
        <v>0</v>
      </c>
      <c r="I456" s="92"/>
      <c r="J456" s="29">
        <f t="shared" si="127"/>
        <v>0</v>
      </c>
      <c r="K456" s="91">
        <f>S450*0.85</f>
        <v>0</v>
      </c>
      <c r="L456" s="92"/>
      <c r="M456" s="33">
        <v>0</v>
      </c>
      <c r="N456" s="91">
        <f>V450*0.85</f>
        <v>0</v>
      </c>
      <c r="O456" s="92"/>
      <c r="P456" s="33">
        <v>1275</v>
      </c>
      <c r="Q456" s="29">
        <f t="shared" si="123"/>
        <v>1275</v>
      </c>
      <c r="R456" s="210"/>
      <c r="S456" s="210"/>
      <c r="Z456" s="209"/>
      <c r="AA456" s="209"/>
      <c r="IQ456" s="80"/>
      <c r="IR456" s="80"/>
      <c r="IS456" s="80"/>
      <c r="IT456" s="80"/>
      <c r="IU456" s="80"/>
    </row>
    <row r="457" spans="2:255" s="77" customFormat="1" ht="15.75" customHeight="1" hidden="1">
      <c r="B457" s="38" t="s">
        <v>40</v>
      </c>
      <c r="C457" s="65"/>
      <c r="D457" s="91">
        <f t="shared" si="125"/>
        <v>0</v>
      </c>
      <c r="E457" s="91"/>
      <c r="F457" s="92"/>
      <c r="G457" s="33">
        <f>E457+F457</f>
        <v>0</v>
      </c>
      <c r="H457" s="91"/>
      <c r="I457" s="92"/>
      <c r="J457" s="29">
        <f t="shared" si="127"/>
        <v>0</v>
      </c>
      <c r="K457" s="91"/>
      <c r="L457" s="92"/>
      <c r="M457" s="29">
        <f aca="true" t="shared" si="128" ref="M457:M463">K457+L457</f>
        <v>0</v>
      </c>
      <c r="N457" s="91"/>
      <c r="O457" s="92"/>
      <c r="P457" s="29">
        <f>N457+O457</f>
        <v>0</v>
      </c>
      <c r="Q457" s="29">
        <f t="shared" si="123"/>
        <v>0</v>
      </c>
      <c r="R457" s="210"/>
      <c r="S457" s="210"/>
      <c r="Z457" s="209"/>
      <c r="AA457" s="209"/>
      <c r="IQ457" s="80"/>
      <c r="IR457" s="80"/>
      <c r="IS457" s="80"/>
      <c r="IT457" s="80"/>
      <c r="IU457" s="80"/>
    </row>
    <row r="458" spans="2:255" s="77" customFormat="1" ht="17.25" customHeight="1" hidden="1">
      <c r="B458" s="38" t="s">
        <v>57</v>
      </c>
      <c r="C458" s="65"/>
      <c r="D458" s="91">
        <f t="shared" si="125"/>
        <v>0</v>
      </c>
      <c r="E458" s="91"/>
      <c r="F458" s="92"/>
      <c r="G458" s="33">
        <f>E458+F458</f>
        <v>0</v>
      </c>
      <c r="H458" s="91"/>
      <c r="I458" s="92"/>
      <c r="J458" s="29">
        <f t="shared" si="127"/>
        <v>0</v>
      </c>
      <c r="K458" s="91"/>
      <c r="L458" s="92"/>
      <c r="M458" s="29">
        <f t="shared" si="128"/>
        <v>0</v>
      </c>
      <c r="N458" s="91">
        <v>0</v>
      </c>
      <c r="O458" s="92"/>
      <c r="P458" s="29">
        <f>N458+O458</f>
        <v>0</v>
      </c>
      <c r="Q458" s="29">
        <f t="shared" si="123"/>
        <v>0</v>
      </c>
      <c r="R458" s="210"/>
      <c r="S458" s="210"/>
      <c r="Z458" s="209"/>
      <c r="AA458" s="209"/>
      <c r="IQ458" s="80"/>
      <c r="IR458" s="80"/>
      <c r="IS458" s="80"/>
      <c r="IT458" s="80"/>
      <c r="IU458" s="80"/>
    </row>
    <row r="459" spans="2:255" s="93" customFormat="1" ht="30" hidden="1">
      <c r="B459" s="49" t="s">
        <v>41</v>
      </c>
      <c r="C459" s="94"/>
      <c r="D459" s="91">
        <f t="shared" si="125"/>
        <v>130</v>
      </c>
      <c r="E459" s="91">
        <v>0</v>
      </c>
      <c r="F459" s="92"/>
      <c r="G459" s="33">
        <v>100</v>
      </c>
      <c r="H459" s="91">
        <f>H452</f>
        <v>0</v>
      </c>
      <c r="I459" s="92"/>
      <c r="J459" s="29">
        <f t="shared" si="127"/>
        <v>0</v>
      </c>
      <c r="K459" s="91">
        <f>S450*2/100+S452</f>
        <v>0</v>
      </c>
      <c r="L459" s="92"/>
      <c r="M459" s="29">
        <f t="shared" si="128"/>
        <v>0</v>
      </c>
      <c r="N459" s="91">
        <f>V450*2/100+V452</f>
        <v>0</v>
      </c>
      <c r="O459" s="92"/>
      <c r="P459" s="29">
        <v>30</v>
      </c>
      <c r="Q459" s="29">
        <f t="shared" si="123"/>
        <v>130</v>
      </c>
      <c r="R459" s="212"/>
      <c r="S459" s="212"/>
      <c r="Z459" s="216"/>
      <c r="AA459" s="216"/>
      <c r="IQ459" s="95"/>
      <c r="IR459" s="95"/>
      <c r="IS459" s="95"/>
      <c r="IT459" s="95"/>
      <c r="IU459" s="95"/>
    </row>
    <row r="460" spans="1:255" s="93" customFormat="1" ht="27.75" customHeight="1">
      <c r="A460" s="93">
        <v>47</v>
      </c>
      <c r="B460" s="104" t="s">
        <v>114</v>
      </c>
      <c r="C460" s="28" t="s">
        <v>116</v>
      </c>
      <c r="D460" s="41">
        <f>D461+D462+D463</f>
        <v>200</v>
      </c>
      <c r="E460" s="101">
        <f>E461+E462+E463</f>
        <v>0</v>
      </c>
      <c r="F460" s="102">
        <f>F461+F462+F463</f>
        <v>0</v>
      </c>
      <c r="G460" s="29">
        <f>G461+G462+G463</f>
        <v>200</v>
      </c>
      <c r="H460" s="101">
        <f>H461+H462+H463</f>
        <v>0</v>
      </c>
      <c r="I460" s="102"/>
      <c r="J460" s="29">
        <f t="shared" si="127"/>
        <v>0</v>
      </c>
      <c r="K460" s="101">
        <f>K461+K462+K463</f>
        <v>0</v>
      </c>
      <c r="L460" s="102"/>
      <c r="M460" s="29">
        <f t="shared" si="128"/>
        <v>0</v>
      </c>
      <c r="N460" s="101">
        <f>N461+N462+N463</f>
        <v>0</v>
      </c>
      <c r="O460" s="102">
        <f>O461+O462</f>
        <v>200</v>
      </c>
      <c r="P460" s="29">
        <v>0</v>
      </c>
      <c r="Q460" s="29">
        <f t="shared" si="123"/>
        <v>200</v>
      </c>
      <c r="R460" s="212"/>
      <c r="S460" s="212"/>
      <c r="Z460" s="233">
        <v>0</v>
      </c>
      <c r="AA460" s="226">
        <f>D460+Z460</f>
        <v>200</v>
      </c>
      <c r="IQ460" s="95"/>
      <c r="IR460" s="95"/>
      <c r="IS460" s="95"/>
      <c r="IT460" s="95"/>
      <c r="IU460" s="95"/>
    </row>
    <row r="461" spans="2:255" s="93" customFormat="1" ht="16.5" customHeight="1">
      <c r="B461" s="43" t="s">
        <v>35</v>
      </c>
      <c r="C461" s="44"/>
      <c r="D461" s="45">
        <f>G461+J461+M461+P461</f>
        <v>30</v>
      </c>
      <c r="E461" s="82">
        <v>0</v>
      </c>
      <c r="F461" s="83"/>
      <c r="G461" s="29">
        <v>30</v>
      </c>
      <c r="H461" s="82">
        <v>0</v>
      </c>
      <c r="I461" s="83"/>
      <c r="J461" s="29">
        <f t="shared" si="127"/>
        <v>0</v>
      </c>
      <c r="K461" s="82">
        <v>0</v>
      </c>
      <c r="L461" s="83"/>
      <c r="M461" s="29">
        <f t="shared" si="128"/>
        <v>0</v>
      </c>
      <c r="N461" s="82">
        <v>0</v>
      </c>
      <c r="O461" s="83">
        <v>0</v>
      </c>
      <c r="P461" s="29">
        <f>N461+O461</f>
        <v>0</v>
      </c>
      <c r="Q461" s="29">
        <f t="shared" si="123"/>
        <v>30</v>
      </c>
      <c r="R461" s="212"/>
      <c r="S461" s="212"/>
      <c r="Z461" s="209">
        <v>0</v>
      </c>
      <c r="AA461" s="130">
        <f>D461+Z461</f>
        <v>30</v>
      </c>
      <c r="IQ461" s="95"/>
      <c r="IR461" s="95"/>
      <c r="IS461" s="95"/>
      <c r="IT461" s="95"/>
      <c r="IU461" s="95"/>
    </row>
    <row r="462" spans="2:255" s="93" customFormat="1" ht="16.5" customHeight="1">
      <c r="B462" s="38" t="s">
        <v>36</v>
      </c>
      <c r="C462" s="46"/>
      <c r="D462" s="45">
        <f>G462+J462+M462+P462</f>
        <v>170</v>
      </c>
      <c r="E462" s="82">
        <v>0</v>
      </c>
      <c r="F462" s="83"/>
      <c r="G462" s="29">
        <v>170</v>
      </c>
      <c r="H462" s="82">
        <v>0</v>
      </c>
      <c r="I462" s="83"/>
      <c r="J462" s="29">
        <f t="shared" si="127"/>
        <v>0</v>
      </c>
      <c r="K462" s="82">
        <v>0</v>
      </c>
      <c r="L462" s="83"/>
      <c r="M462" s="29">
        <f t="shared" si="128"/>
        <v>0</v>
      </c>
      <c r="N462" s="82">
        <v>0</v>
      </c>
      <c r="O462" s="83">
        <v>200</v>
      </c>
      <c r="P462" s="29">
        <v>0</v>
      </c>
      <c r="Q462" s="29">
        <f t="shared" si="123"/>
        <v>170</v>
      </c>
      <c r="R462" s="212"/>
      <c r="S462" s="212"/>
      <c r="Z462" s="209">
        <v>0</v>
      </c>
      <c r="AA462" s="130">
        <f>D462+Z462</f>
        <v>170</v>
      </c>
      <c r="IQ462" s="95"/>
      <c r="IR462" s="95"/>
      <c r="IS462" s="95"/>
      <c r="IT462" s="95"/>
      <c r="IU462" s="95"/>
    </row>
    <row r="463" spans="2:255" s="93" customFormat="1" ht="15.75" customHeight="1">
      <c r="B463" s="38" t="s">
        <v>37</v>
      </c>
      <c r="C463" s="47"/>
      <c r="D463" s="45">
        <f>G463+J463+M463+P463</f>
        <v>0</v>
      </c>
      <c r="E463" s="82">
        <v>0</v>
      </c>
      <c r="F463" s="83"/>
      <c r="G463" s="29">
        <f>E463+F463</f>
        <v>0</v>
      </c>
      <c r="H463" s="82">
        <v>0</v>
      </c>
      <c r="I463" s="83"/>
      <c r="J463" s="29">
        <f t="shared" si="127"/>
        <v>0</v>
      </c>
      <c r="K463" s="82">
        <v>0</v>
      </c>
      <c r="L463" s="83"/>
      <c r="M463" s="29">
        <f t="shared" si="128"/>
        <v>0</v>
      </c>
      <c r="N463" s="82">
        <v>0</v>
      </c>
      <c r="O463" s="83"/>
      <c r="P463" s="29">
        <f>N463+O463</f>
        <v>0</v>
      </c>
      <c r="Q463" s="29">
        <f t="shared" si="123"/>
        <v>0</v>
      </c>
      <c r="R463" s="212"/>
      <c r="S463" s="212"/>
      <c r="Z463" s="209">
        <v>0</v>
      </c>
      <c r="AA463" s="130">
        <f>D463+Z463</f>
        <v>0</v>
      </c>
      <c r="IQ463" s="95"/>
      <c r="IR463" s="95"/>
      <c r="IS463" s="95"/>
      <c r="IT463" s="95"/>
      <c r="IU463" s="95"/>
    </row>
    <row r="464" spans="2:255" s="93" customFormat="1" ht="15.75" customHeight="1" hidden="1">
      <c r="B464" s="38"/>
      <c r="C464" s="47"/>
      <c r="D464" s="41">
        <f>D465+D466+D467+D468</f>
        <v>200</v>
      </c>
      <c r="E464" s="82"/>
      <c r="F464" s="83"/>
      <c r="G464" s="41">
        <f aca="true" t="shared" si="129" ref="G464:P464">G465+G466+G467+G468</f>
        <v>200</v>
      </c>
      <c r="H464" s="41">
        <f t="shared" si="129"/>
        <v>6366</v>
      </c>
      <c r="I464" s="41">
        <f t="shared" si="129"/>
        <v>0</v>
      </c>
      <c r="J464" s="41">
        <f t="shared" si="129"/>
        <v>0</v>
      </c>
      <c r="K464" s="41">
        <f t="shared" si="129"/>
        <v>0</v>
      </c>
      <c r="L464" s="41">
        <f t="shared" si="129"/>
        <v>0</v>
      </c>
      <c r="M464" s="41">
        <f t="shared" si="129"/>
        <v>0</v>
      </c>
      <c r="N464" s="41">
        <f t="shared" si="129"/>
        <v>0</v>
      </c>
      <c r="O464" s="41">
        <f t="shared" si="129"/>
        <v>0</v>
      </c>
      <c r="P464" s="41">
        <f t="shared" si="129"/>
        <v>0</v>
      </c>
      <c r="Q464" s="29"/>
      <c r="R464" s="212"/>
      <c r="S464" s="212"/>
      <c r="Z464" s="216"/>
      <c r="AA464" s="216"/>
      <c r="IQ464" s="95"/>
      <c r="IR464" s="95"/>
      <c r="IS464" s="95"/>
      <c r="IT464" s="95"/>
      <c r="IU464" s="95"/>
    </row>
    <row r="465" spans="2:255" s="93" customFormat="1" ht="15.75" customHeight="1" hidden="1">
      <c r="B465" s="38" t="s">
        <v>38</v>
      </c>
      <c r="C465" s="65"/>
      <c r="D465" s="82">
        <f aca="true" t="shared" si="130" ref="D465:D472">G465+J465+M465+P465</f>
        <v>30</v>
      </c>
      <c r="E465" s="82">
        <v>57</v>
      </c>
      <c r="F465" s="83"/>
      <c r="G465" s="29">
        <v>30</v>
      </c>
      <c r="H465" s="82">
        <v>6366</v>
      </c>
      <c r="I465" s="83">
        <v>0</v>
      </c>
      <c r="J465" s="29">
        <v>0</v>
      </c>
      <c r="K465" s="82">
        <v>0</v>
      </c>
      <c r="L465" s="83"/>
      <c r="M465" s="29">
        <f aca="true" t="shared" si="131" ref="M465:M473">K465+L465</f>
        <v>0</v>
      </c>
      <c r="N465" s="82">
        <v>0</v>
      </c>
      <c r="O465" s="83"/>
      <c r="P465" s="29">
        <f aca="true" t="shared" si="132" ref="P465:P473">N465+O465</f>
        <v>0</v>
      </c>
      <c r="Q465" s="29">
        <f aca="true" t="shared" si="133" ref="Q465:Q481">G465+J465+M465+P465</f>
        <v>30</v>
      </c>
      <c r="R465" s="212"/>
      <c r="S465" s="212"/>
      <c r="Z465" s="216"/>
      <c r="AA465" s="216"/>
      <c r="IQ465" s="95"/>
      <c r="IR465" s="95"/>
      <c r="IS465" s="95"/>
      <c r="IT465" s="95"/>
      <c r="IU465" s="95"/>
    </row>
    <row r="466" spans="2:255" s="93" customFormat="1" ht="15.75" customHeight="1" hidden="1">
      <c r="B466" s="38" t="s">
        <v>39</v>
      </c>
      <c r="C466" s="65"/>
      <c r="D466" s="82">
        <f t="shared" si="130"/>
        <v>170</v>
      </c>
      <c r="E466" s="82">
        <v>383</v>
      </c>
      <c r="F466" s="83"/>
      <c r="G466" s="29">
        <v>170</v>
      </c>
      <c r="H466" s="82">
        <v>0</v>
      </c>
      <c r="I466" s="83"/>
      <c r="J466" s="29">
        <f aca="true" t="shared" si="134" ref="J466:J473">H466+I466</f>
        <v>0</v>
      </c>
      <c r="K466" s="82">
        <v>0</v>
      </c>
      <c r="L466" s="83"/>
      <c r="M466" s="29">
        <f t="shared" si="131"/>
        <v>0</v>
      </c>
      <c r="N466" s="82">
        <v>0</v>
      </c>
      <c r="O466" s="83"/>
      <c r="P466" s="29">
        <f t="shared" si="132"/>
        <v>0</v>
      </c>
      <c r="Q466" s="29">
        <f t="shared" si="133"/>
        <v>170</v>
      </c>
      <c r="R466" s="212"/>
      <c r="S466" s="212"/>
      <c r="Z466" s="216"/>
      <c r="AA466" s="216"/>
      <c r="IQ466" s="95"/>
      <c r="IR466" s="95"/>
      <c r="IS466" s="95"/>
      <c r="IT466" s="95"/>
      <c r="IU466" s="95"/>
    </row>
    <row r="467" spans="2:255" s="93" customFormat="1" ht="15.75" customHeight="1" hidden="1">
      <c r="B467" s="38" t="s">
        <v>40</v>
      </c>
      <c r="C467" s="65"/>
      <c r="D467" s="82">
        <f t="shared" si="130"/>
        <v>0</v>
      </c>
      <c r="E467" s="82">
        <v>0</v>
      </c>
      <c r="F467" s="83"/>
      <c r="G467" s="29">
        <f>E467+F467</f>
        <v>0</v>
      </c>
      <c r="H467" s="82">
        <v>0</v>
      </c>
      <c r="I467" s="83"/>
      <c r="J467" s="29">
        <f t="shared" si="134"/>
        <v>0</v>
      </c>
      <c r="K467" s="82">
        <v>0</v>
      </c>
      <c r="L467" s="83"/>
      <c r="M467" s="29">
        <f t="shared" si="131"/>
        <v>0</v>
      </c>
      <c r="N467" s="82">
        <v>0</v>
      </c>
      <c r="O467" s="83"/>
      <c r="P467" s="29">
        <f t="shared" si="132"/>
        <v>0</v>
      </c>
      <c r="Q467" s="29">
        <f t="shared" si="133"/>
        <v>0</v>
      </c>
      <c r="R467" s="212"/>
      <c r="S467" s="212"/>
      <c r="Z467" s="216"/>
      <c r="AA467" s="216"/>
      <c r="IQ467" s="95"/>
      <c r="IR467" s="95"/>
      <c r="IS467" s="95"/>
      <c r="IT467" s="95"/>
      <c r="IU467" s="95"/>
    </row>
    <row r="468" spans="2:255" s="93" customFormat="1" ht="26.25" customHeight="1" hidden="1">
      <c r="B468" s="49" t="s">
        <v>41</v>
      </c>
      <c r="C468" s="94"/>
      <c r="D468" s="82">
        <f t="shared" si="130"/>
        <v>0</v>
      </c>
      <c r="E468" s="91">
        <v>11</v>
      </c>
      <c r="F468" s="92"/>
      <c r="G468" s="29">
        <v>0</v>
      </c>
      <c r="H468" s="91">
        <v>0</v>
      </c>
      <c r="I468" s="92"/>
      <c r="J468" s="29">
        <f t="shared" si="134"/>
        <v>0</v>
      </c>
      <c r="K468" s="91">
        <v>0</v>
      </c>
      <c r="L468" s="92"/>
      <c r="M468" s="29">
        <f t="shared" si="131"/>
        <v>0</v>
      </c>
      <c r="N468" s="91">
        <v>0</v>
      </c>
      <c r="O468" s="92"/>
      <c r="P468" s="29">
        <f t="shared" si="132"/>
        <v>0</v>
      </c>
      <c r="Q468" s="29">
        <f t="shared" si="133"/>
        <v>0</v>
      </c>
      <c r="R468" s="212"/>
      <c r="S468" s="212"/>
      <c r="Z468" s="216"/>
      <c r="AA468" s="216"/>
      <c r="IQ468" s="95"/>
      <c r="IR468" s="95"/>
      <c r="IS468" s="95"/>
      <c r="IT468" s="95"/>
      <c r="IU468" s="95"/>
    </row>
    <row r="469" spans="1:255" s="93" customFormat="1" ht="21" customHeight="1">
      <c r="A469" s="93">
        <v>48</v>
      </c>
      <c r="B469" s="104" t="s">
        <v>114</v>
      </c>
      <c r="C469" s="28" t="s">
        <v>117</v>
      </c>
      <c r="D469" s="41">
        <f t="shared" si="130"/>
        <v>400</v>
      </c>
      <c r="E469" s="101">
        <f>E470+E471+E472</f>
        <v>451</v>
      </c>
      <c r="F469" s="102">
        <f>F470+F471+F472</f>
        <v>0</v>
      </c>
      <c r="G469" s="29">
        <f>G470+G471+G472</f>
        <v>400</v>
      </c>
      <c r="H469" s="101">
        <f>H470+H471+H472</f>
        <v>0</v>
      </c>
      <c r="I469" s="102"/>
      <c r="J469" s="29">
        <f t="shared" si="134"/>
        <v>0</v>
      </c>
      <c r="K469" s="101">
        <f>K470+K471+K472</f>
        <v>0</v>
      </c>
      <c r="L469" s="102"/>
      <c r="M469" s="29">
        <f t="shared" si="131"/>
        <v>0</v>
      </c>
      <c r="N469" s="101">
        <f>N470+N471+N472</f>
        <v>0</v>
      </c>
      <c r="O469" s="102"/>
      <c r="P469" s="29">
        <f t="shared" si="132"/>
        <v>0</v>
      </c>
      <c r="Q469" s="29">
        <f t="shared" si="133"/>
        <v>400</v>
      </c>
      <c r="R469" s="212"/>
      <c r="S469" s="212"/>
      <c r="Z469" s="233">
        <v>0</v>
      </c>
      <c r="AA469" s="226">
        <f>D469+Z469</f>
        <v>400</v>
      </c>
      <c r="IQ469" s="95"/>
      <c r="IR469" s="95"/>
      <c r="IS469" s="95"/>
      <c r="IT469" s="95"/>
      <c r="IU469" s="95"/>
    </row>
    <row r="470" spans="2:255" s="93" customFormat="1" ht="16.5" customHeight="1">
      <c r="B470" s="43" t="s">
        <v>44</v>
      </c>
      <c r="C470" s="44"/>
      <c r="D470" s="45">
        <f t="shared" si="130"/>
        <v>0</v>
      </c>
      <c r="E470" s="82">
        <v>68</v>
      </c>
      <c r="F470" s="83"/>
      <c r="G470" s="29">
        <v>0</v>
      </c>
      <c r="H470" s="82">
        <v>0</v>
      </c>
      <c r="I470" s="83"/>
      <c r="J470" s="29">
        <f t="shared" si="134"/>
        <v>0</v>
      </c>
      <c r="K470" s="82">
        <v>0</v>
      </c>
      <c r="L470" s="83"/>
      <c r="M470" s="29">
        <f t="shared" si="131"/>
        <v>0</v>
      </c>
      <c r="N470" s="82">
        <v>0</v>
      </c>
      <c r="O470" s="83"/>
      <c r="P470" s="29">
        <f t="shared" si="132"/>
        <v>0</v>
      </c>
      <c r="Q470" s="29">
        <f t="shared" si="133"/>
        <v>0</v>
      </c>
      <c r="R470" s="212"/>
      <c r="S470" s="212"/>
      <c r="Z470" s="209">
        <v>0</v>
      </c>
      <c r="AA470" s="130">
        <f>D470+Z470</f>
        <v>0</v>
      </c>
      <c r="IQ470" s="95"/>
      <c r="IR470" s="95"/>
      <c r="IS470" s="95"/>
      <c r="IT470" s="95"/>
      <c r="IU470" s="95"/>
    </row>
    <row r="471" spans="2:255" s="93" customFormat="1" ht="16.5" customHeight="1">
      <c r="B471" s="38" t="s">
        <v>45</v>
      </c>
      <c r="C471" s="46"/>
      <c r="D471" s="45">
        <f t="shared" si="130"/>
        <v>0</v>
      </c>
      <c r="E471" s="82">
        <v>383</v>
      </c>
      <c r="F471" s="83"/>
      <c r="G471" s="29">
        <v>0</v>
      </c>
      <c r="H471" s="82">
        <v>0</v>
      </c>
      <c r="I471" s="83"/>
      <c r="J471" s="29">
        <f t="shared" si="134"/>
        <v>0</v>
      </c>
      <c r="K471" s="82">
        <v>0</v>
      </c>
      <c r="L471" s="83"/>
      <c r="M471" s="29">
        <f t="shared" si="131"/>
        <v>0</v>
      </c>
      <c r="N471" s="82">
        <v>0</v>
      </c>
      <c r="O471" s="83"/>
      <c r="P471" s="29">
        <f t="shared" si="132"/>
        <v>0</v>
      </c>
      <c r="Q471" s="29">
        <f t="shared" si="133"/>
        <v>0</v>
      </c>
      <c r="R471" s="212"/>
      <c r="S471" s="212"/>
      <c r="Z471" s="209">
        <v>0</v>
      </c>
      <c r="AA471" s="130">
        <f>D471+Z471</f>
        <v>0</v>
      </c>
      <c r="IQ471" s="95"/>
      <c r="IR471" s="95"/>
      <c r="IS471" s="95"/>
      <c r="IT471" s="95"/>
      <c r="IU471" s="95"/>
    </row>
    <row r="472" spans="2:255" s="93" customFormat="1" ht="15.75" customHeight="1">
      <c r="B472" s="38" t="s">
        <v>46</v>
      </c>
      <c r="C472" s="47"/>
      <c r="D472" s="45">
        <f t="shared" si="130"/>
        <v>400</v>
      </c>
      <c r="E472" s="82">
        <v>0</v>
      </c>
      <c r="F472" s="83"/>
      <c r="G472" s="29">
        <v>400</v>
      </c>
      <c r="H472" s="82">
        <v>0</v>
      </c>
      <c r="I472" s="83"/>
      <c r="J472" s="29">
        <f t="shared" si="134"/>
        <v>0</v>
      </c>
      <c r="K472" s="82">
        <v>0</v>
      </c>
      <c r="L472" s="83"/>
      <c r="M472" s="29">
        <f t="shared" si="131"/>
        <v>0</v>
      </c>
      <c r="N472" s="82">
        <v>0</v>
      </c>
      <c r="O472" s="83"/>
      <c r="P472" s="29">
        <f t="shared" si="132"/>
        <v>0</v>
      </c>
      <c r="Q472" s="29">
        <f t="shared" si="133"/>
        <v>400</v>
      </c>
      <c r="R472" s="212"/>
      <c r="S472" s="212"/>
      <c r="Z472" s="209">
        <v>0</v>
      </c>
      <c r="AA472" s="130">
        <f>D472+Z472</f>
        <v>400</v>
      </c>
      <c r="IQ472" s="95"/>
      <c r="IR472" s="95"/>
      <c r="IS472" s="95"/>
      <c r="IT472" s="95"/>
      <c r="IU472" s="95"/>
    </row>
    <row r="473" spans="2:255" s="93" customFormat="1" ht="21" customHeight="1" hidden="1">
      <c r="B473" s="38"/>
      <c r="C473" s="65"/>
      <c r="D473" s="91"/>
      <c r="E473" s="91"/>
      <c r="F473" s="92"/>
      <c r="G473" s="113">
        <f>E473+F473</f>
        <v>0</v>
      </c>
      <c r="H473" s="91"/>
      <c r="I473" s="92"/>
      <c r="J473" s="113">
        <f t="shared" si="134"/>
        <v>0</v>
      </c>
      <c r="K473" s="91"/>
      <c r="L473" s="92"/>
      <c r="M473" s="113">
        <f t="shared" si="131"/>
        <v>0</v>
      </c>
      <c r="N473" s="91"/>
      <c r="O473" s="92"/>
      <c r="P473" s="113">
        <f t="shared" si="132"/>
        <v>0</v>
      </c>
      <c r="Q473" s="29">
        <f t="shared" si="133"/>
        <v>0</v>
      </c>
      <c r="R473" s="212"/>
      <c r="S473" s="212"/>
      <c r="Z473" s="216"/>
      <c r="AA473" s="216"/>
      <c r="IQ473" s="95"/>
      <c r="IR473" s="95"/>
      <c r="IS473" s="95"/>
      <c r="IT473" s="95"/>
      <c r="IU473" s="95"/>
    </row>
    <row r="474" spans="2:255" s="93" customFormat="1" ht="20.25" customHeight="1" hidden="1">
      <c r="B474" s="39"/>
      <c r="C474" s="28"/>
      <c r="D474" s="91">
        <f aca="true" t="shared" si="135" ref="D474:D483">G474+J474+M474+P474</f>
        <v>4029</v>
      </c>
      <c r="E474" s="88">
        <f>E476+E477+E478+E479</f>
        <v>451</v>
      </c>
      <c r="F474" s="89">
        <f>F476+F477+F478+F479</f>
        <v>0</v>
      </c>
      <c r="G474" s="88">
        <f aca="true" t="shared" si="136" ref="G474:P474">G476+G479+G477+G478</f>
        <v>400</v>
      </c>
      <c r="H474" s="88">
        <f t="shared" si="136"/>
        <v>6366</v>
      </c>
      <c r="I474" s="88">
        <f t="shared" si="136"/>
        <v>0</v>
      </c>
      <c r="J474" s="88">
        <f t="shared" si="136"/>
        <v>3629</v>
      </c>
      <c r="K474" s="88">
        <f t="shared" si="136"/>
        <v>0</v>
      </c>
      <c r="L474" s="88">
        <f t="shared" si="136"/>
        <v>0</v>
      </c>
      <c r="M474" s="88">
        <f t="shared" si="136"/>
        <v>0</v>
      </c>
      <c r="N474" s="88">
        <f t="shared" si="136"/>
        <v>0</v>
      </c>
      <c r="O474" s="88">
        <f t="shared" si="136"/>
        <v>0</v>
      </c>
      <c r="P474" s="88">
        <f t="shared" si="136"/>
        <v>0</v>
      </c>
      <c r="Q474" s="29">
        <f t="shared" si="133"/>
        <v>4029</v>
      </c>
      <c r="R474" s="212"/>
      <c r="S474" s="212"/>
      <c r="Z474" s="216"/>
      <c r="AA474" s="216"/>
      <c r="IQ474" s="95"/>
      <c r="IR474" s="95"/>
      <c r="IS474" s="95"/>
      <c r="IT474" s="95"/>
      <c r="IU474" s="95"/>
    </row>
    <row r="475" spans="2:255" s="93" customFormat="1" ht="15.75" customHeight="1" hidden="1">
      <c r="B475" s="38" t="s">
        <v>118</v>
      </c>
      <c r="C475" s="28"/>
      <c r="D475" s="91">
        <f t="shared" si="135"/>
        <v>0</v>
      </c>
      <c r="E475" s="91">
        <v>0</v>
      </c>
      <c r="F475" s="92"/>
      <c r="G475" s="114">
        <f>E475+F475</f>
        <v>0</v>
      </c>
      <c r="H475" s="91">
        <v>0</v>
      </c>
      <c r="I475" s="92">
        <v>0</v>
      </c>
      <c r="J475" s="114">
        <f>H475+I475</f>
        <v>0</v>
      </c>
      <c r="K475" s="51">
        <v>0</v>
      </c>
      <c r="L475" s="64"/>
      <c r="M475" s="113">
        <f>K475+L475</f>
        <v>0</v>
      </c>
      <c r="N475" s="51">
        <v>0</v>
      </c>
      <c r="O475" s="64"/>
      <c r="P475" s="113">
        <f>N475+O475</f>
        <v>0</v>
      </c>
      <c r="Q475" s="29">
        <f t="shared" si="133"/>
        <v>0</v>
      </c>
      <c r="R475" s="212"/>
      <c r="S475" s="212"/>
      <c r="Z475" s="216"/>
      <c r="AA475" s="216"/>
      <c r="IQ475" s="95"/>
      <c r="IR475" s="95"/>
      <c r="IS475" s="95"/>
      <c r="IT475" s="95"/>
      <c r="IU475" s="95"/>
    </row>
    <row r="476" spans="2:255" s="93" customFormat="1" ht="15.75" customHeight="1" hidden="1">
      <c r="B476" s="38" t="s">
        <v>47</v>
      </c>
      <c r="C476" s="65"/>
      <c r="D476" s="91">
        <f t="shared" si="135"/>
        <v>0</v>
      </c>
      <c r="E476" s="91">
        <v>57</v>
      </c>
      <c r="F476" s="92"/>
      <c r="G476" s="114">
        <v>0</v>
      </c>
      <c r="H476" s="91">
        <v>6366</v>
      </c>
      <c r="I476" s="92">
        <v>0</v>
      </c>
      <c r="J476" s="114">
        <v>0</v>
      </c>
      <c r="K476" s="91">
        <v>0</v>
      </c>
      <c r="L476" s="92"/>
      <c r="M476" s="113">
        <f>K476+L476</f>
        <v>0</v>
      </c>
      <c r="N476" s="91">
        <v>0</v>
      </c>
      <c r="O476" s="92"/>
      <c r="P476" s="113">
        <f>N476+O476</f>
        <v>0</v>
      </c>
      <c r="Q476" s="29">
        <f t="shared" si="133"/>
        <v>0</v>
      </c>
      <c r="R476" s="212"/>
      <c r="S476" s="212"/>
      <c r="Z476" s="216"/>
      <c r="AA476" s="216"/>
      <c r="IQ476" s="95"/>
      <c r="IR476" s="95"/>
      <c r="IS476" s="95"/>
      <c r="IT476" s="95"/>
      <c r="IU476" s="95"/>
    </row>
    <row r="477" spans="2:255" s="93" customFormat="1" ht="15.75" customHeight="1" hidden="1">
      <c r="B477" s="38" t="s">
        <v>48</v>
      </c>
      <c r="C477" s="65"/>
      <c r="D477" s="91">
        <f t="shared" si="135"/>
        <v>0</v>
      </c>
      <c r="E477" s="91">
        <v>383</v>
      </c>
      <c r="F477" s="92"/>
      <c r="G477" s="114">
        <v>0</v>
      </c>
      <c r="H477" s="91">
        <v>0</v>
      </c>
      <c r="I477" s="92"/>
      <c r="J477" s="114">
        <f>H477+I477</f>
        <v>0</v>
      </c>
      <c r="K477" s="91">
        <v>0</v>
      </c>
      <c r="L477" s="92"/>
      <c r="M477" s="113">
        <f>K477+L477</f>
        <v>0</v>
      </c>
      <c r="N477" s="91">
        <v>0</v>
      </c>
      <c r="O477" s="92"/>
      <c r="P477" s="113">
        <f>N477+O477</f>
        <v>0</v>
      </c>
      <c r="Q477" s="29">
        <f t="shared" si="133"/>
        <v>0</v>
      </c>
      <c r="R477" s="212"/>
      <c r="S477" s="212"/>
      <c r="Z477" s="216"/>
      <c r="AA477" s="216"/>
      <c r="IQ477" s="95"/>
      <c r="IR477" s="95"/>
      <c r="IS477" s="95"/>
      <c r="IT477" s="95"/>
      <c r="IU477" s="95"/>
    </row>
    <row r="478" spans="2:255" s="93" customFormat="1" ht="15.75" customHeight="1" hidden="1">
      <c r="B478" s="38" t="s">
        <v>49</v>
      </c>
      <c r="C478" s="65"/>
      <c r="D478" s="91">
        <f t="shared" si="135"/>
        <v>3629</v>
      </c>
      <c r="E478" s="91">
        <v>0</v>
      </c>
      <c r="F478" s="92"/>
      <c r="G478" s="114">
        <f>E478+F478</f>
        <v>0</v>
      </c>
      <c r="H478" s="91">
        <v>0</v>
      </c>
      <c r="I478" s="92"/>
      <c r="J478" s="114">
        <v>3629</v>
      </c>
      <c r="K478" s="91">
        <v>0</v>
      </c>
      <c r="L478" s="92"/>
      <c r="M478" s="113">
        <f>K478+L478</f>
        <v>0</v>
      </c>
      <c r="N478" s="91">
        <v>0</v>
      </c>
      <c r="O478" s="92"/>
      <c r="P478" s="113">
        <f>N478+O478</f>
        <v>0</v>
      </c>
      <c r="Q478" s="29">
        <f t="shared" si="133"/>
        <v>3629</v>
      </c>
      <c r="R478" s="212"/>
      <c r="S478" s="212"/>
      <c r="Z478" s="216"/>
      <c r="AA478" s="216"/>
      <c r="IQ478" s="95"/>
      <c r="IR478" s="95"/>
      <c r="IS478" s="95"/>
      <c r="IT478" s="95"/>
      <c r="IU478" s="95"/>
    </row>
    <row r="479" spans="2:255" s="93" customFormat="1" ht="26.25" customHeight="1" hidden="1">
      <c r="B479" s="49" t="s">
        <v>41</v>
      </c>
      <c r="C479" s="94"/>
      <c r="D479" s="91">
        <f t="shared" si="135"/>
        <v>400</v>
      </c>
      <c r="E479" s="91">
        <v>11</v>
      </c>
      <c r="F479" s="92"/>
      <c r="G479" s="114">
        <v>400</v>
      </c>
      <c r="H479" s="91">
        <v>0</v>
      </c>
      <c r="I479" s="92"/>
      <c r="J479" s="114">
        <f>H479+I479</f>
        <v>0</v>
      </c>
      <c r="K479" s="91">
        <v>0</v>
      </c>
      <c r="L479" s="92"/>
      <c r="M479" s="113">
        <f>K479+L479</f>
        <v>0</v>
      </c>
      <c r="N479" s="91">
        <v>0</v>
      </c>
      <c r="O479" s="92"/>
      <c r="P479" s="113">
        <f>N479+O479</f>
        <v>0</v>
      </c>
      <c r="Q479" s="29">
        <f t="shared" si="133"/>
        <v>400</v>
      </c>
      <c r="R479" s="212"/>
      <c r="S479" s="212"/>
      <c r="Z479" s="216"/>
      <c r="AA479" s="216"/>
      <c r="IQ479" s="95"/>
      <c r="IR479" s="95"/>
      <c r="IS479" s="95"/>
      <c r="IT479" s="95"/>
      <c r="IU479" s="95"/>
    </row>
    <row r="480" spans="1:255" s="93" customFormat="1" ht="28.5" customHeight="1" hidden="1">
      <c r="A480" s="93">
        <v>40</v>
      </c>
      <c r="B480" s="78" t="s">
        <v>119</v>
      </c>
      <c r="C480" s="28" t="s">
        <v>120</v>
      </c>
      <c r="D480" s="41">
        <f t="shared" si="135"/>
        <v>0</v>
      </c>
      <c r="E480" s="101">
        <f>E481+E486+E489</f>
        <v>0</v>
      </c>
      <c r="F480" s="101"/>
      <c r="G480" s="29">
        <f>G481+G482+G483</f>
        <v>0</v>
      </c>
      <c r="H480" s="101">
        <f>H481+H486+H489</f>
        <v>0</v>
      </c>
      <c r="I480" s="101"/>
      <c r="J480" s="29">
        <f aca="true" t="shared" si="137" ref="J480:P480">J481+J482+J483</f>
        <v>0</v>
      </c>
      <c r="K480" s="29">
        <f t="shared" si="137"/>
        <v>0</v>
      </c>
      <c r="L480" s="29">
        <f t="shared" si="137"/>
        <v>0</v>
      </c>
      <c r="M480" s="29">
        <f t="shared" si="137"/>
        <v>0</v>
      </c>
      <c r="N480" s="29">
        <f t="shared" si="137"/>
        <v>0</v>
      </c>
      <c r="O480" s="29">
        <f t="shared" si="137"/>
        <v>0</v>
      </c>
      <c r="P480" s="29">
        <f t="shared" si="137"/>
        <v>0</v>
      </c>
      <c r="Q480" s="29">
        <f t="shared" si="133"/>
        <v>0</v>
      </c>
      <c r="R480" s="212"/>
      <c r="S480" s="212"/>
      <c r="Z480" s="216"/>
      <c r="AA480" s="216"/>
      <c r="IQ480" s="95"/>
      <c r="IR480" s="95"/>
      <c r="IS480" s="95"/>
      <c r="IT480" s="95"/>
      <c r="IU480" s="95"/>
    </row>
    <row r="481" spans="2:255" s="93" customFormat="1" ht="15" customHeight="1" hidden="1">
      <c r="B481" s="43" t="s">
        <v>35</v>
      </c>
      <c r="C481" s="44"/>
      <c r="D481" s="45">
        <f t="shared" si="135"/>
        <v>0</v>
      </c>
      <c r="E481" s="82">
        <v>0</v>
      </c>
      <c r="F481" s="82"/>
      <c r="G481" s="33">
        <v>0</v>
      </c>
      <c r="H481" s="45">
        <v>0</v>
      </c>
      <c r="I481" s="45"/>
      <c r="J481" s="33">
        <f>H481+I481</f>
        <v>0</v>
      </c>
      <c r="K481" s="45"/>
      <c r="L481" s="45"/>
      <c r="M481" s="33">
        <v>0</v>
      </c>
      <c r="N481" s="45">
        <v>0</v>
      </c>
      <c r="O481" s="45"/>
      <c r="P481" s="33">
        <f>N481+O481</f>
        <v>0</v>
      </c>
      <c r="Q481" s="29">
        <f t="shared" si="133"/>
        <v>0</v>
      </c>
      <c r="R481" s="212"/>
      <c r="S481" s="212"/>
      <c r="Z481" s="216"/>
      <c r="AA481" s="216"/>
      <c r="IQ481" s="95"/>
      <c r="IR481" s="95"/>
      <c r="IS481" s="95"/>
      <c r="IT481" s="95"/>
      <c r="IU481" s="95"/>
    </row>
    <row r="482" spans="2:255" s="93" customFormat="1" ht="15" customHeight="1" hidden="1">
      <c r="B482" s="43" t="s">
        <v>36</v>
      </c>
      <c r="C482" s="44"/>
      <c r="D482" s="45">
        <f t="shared" si="135"/>
        <v>0</v>
      </c>
      <c r="E482" s="82"/>
      <c r="F482" s="82"/>
      <c r="G482" s="33">
        <v>0</v>
      </c>
      <c r="H482" s="45"/>
      <c r="I482" s="45"/>
      <c r="J482" s="33"/>
      <c r="K482" s="45"/>
      <c r="L482" s="45"/>
      <c r="M482" s="33">
        <v>0</v>
      </c>
      <c r="N482" s="45"/>
      <c r="O482" s="45"/>
      <c r="P482" s="33"/>
      <c r="Q482" s="29"/>
      <c r="R482" s="212"/>
      <c r="S482" s="212"/>
      <c r="Z482" s="216"/>
      <c r="AA482" s="216"/>
      <c r="IQ482" s="95"/>
      <c r="IR482" s="95"/>
      <c r="IS482" s="95"/>
      <c r="IT482" s="95"/>
      <c r="IU482" s="95"/>
    </row>
    <row r="483" spans="2:255" s="93" customFormat="1" ht="15" customHeight="1" hidden="1">
      <c r="B483" s="43" t="s">
        <v>37</v>
      </c>
      <c r="C483" s="44"/>
      <c r="D483" s="45">
        <f t="shared" si="135"/>
        <v>0</v>
      </c>
      <c r="E483" s="82">
        <v>0</v>
      </c>
      <c r="F483" s="82"/>
      <c r="G483" s="33">
        <f>E483+F483</f>
        <v>0</v>
      </c>
      <c r="H483" s="45">
        <v>0</v>
      </c>
      <c r="I483" s="45"/>
      <c r="J483" s="33">
        <f>H483+I483</f>
        <v>0</v>
      </c>
      <c r="K483" s="45"/>
      <c r="L483" s="45"/>
      <c r="M483" s="33">
        <v>0</v>
      </c>
      <c r="N483" s="82">
        <v>0</v>
      </c>
      <c r="O483" s="82"/>
      <c r="P483" s="29">
        <f>N483+O483</f>
        <v>0</v>
      </c>
      <c r="Q483" s="29">
        <f>G483+J483+M483+P483</f>
        <v>0</v>
      </c>
      <c r="R483" s="212"/>
      <c r="S483" s="212"/>
      <c r="Z483" s="216"/>
      <c r="AA483" s="216"/>
      <c r="IQ483" s="95"/>
      <c r="IR483" s="95"/>
      <c r="IS483" s="95"/>
      <c r="IT483" s="95"/>
      <c r="IU483" s="95"/>
    </row>
    <row r="484" spans="2:255" s="115" customFormat="1" ht="15" customHeight="1" hidden="1">
      <c r="B484" s="116"/>
      <c r="C484" s="117"/>
      <c r="D484" s="118"/>
      <c r="E484" s="119"/>
      <c r="F484" s="119"/>
      <c r="G484" s="120"/>
      <c r="H484" s="119"/>
      <c r="I484" s="119"/>
      <c r="J484" s="120"/>
      <c r="K484" s="119"/>
      <c r="L484" s="119"/>
      <c r="M484" s="120"/>
      <c r="N484" s="119"/>
      <c r="O484" s="119"/>
      <c r="P484" s="120"/>
      <c r="Q484" s="120"/>
      <c r="R484" s="217"/>
      <c r="S484" s="217"/>
      <c r="Z484" s="224"/>
      <c r="AA484" s="224"/>
      <c r="IQ484" s="121"/>
      <c r="IR484" s="121"/>
      <c r="IS484" s="121"/>
      <c r="IT484" s="121"/>
      <c r="IU484" s="121"/>
    </row>
    <row r="485" spans="2:255" s="115" customFormat="1" ht="15" customHeight="1" hidden="1">
      <c r="B485" s="116"/>
      <c r="C485" s="117" t="s">
        <v>51</v>
      </c>
      <c r="D485" s="122">
        <f aca="true" t="shared" si="138" ref="D485:D493">G485+J485+M485+P485</f>
        <v>0</v>
      </c>
      <c r="E485" s="123"/>
      <c r="F485" s="123"/>
      <c r="G485" s="120"/>
      <c r="H485" s="120">
        <f>SUM(H486:H489)</f>
        <v>0</v>
      </c>
      <c r="I485" s="120">
        <f>SUM(I486:I489)</f>
        <v>0</v>
      </c>
      <c r="J485" s="120">
        <f>SUM(J486:J489)</f>
        <v>0</v>
      </c>
      <c r="K485" s="120"/>
      <c r="L485" s="120"/>
      <c r="M485" s="120">
        <f>SUM(M486:M489)</f>
        <v>0</v>
      </c>
      <c r="N485" s="120">
        <f>SUM(N486:N489)</f>
        <v>0</v>
      </c>
      <c r="O485" s="120">
        <f>SUM(O486:O489)</f>
        <v>0</v>
      </c>
      <c r="P485" s="120">
        <f>SUM(P486:P489)</f>
        <v>0</v>
      </c>
      <c r="Q485" s="120"/>
      <c r="R485" s="217"/>
      <c r="S485" s="217"/>
      <c r="Z485" s="224"/>
      <c r="AA485" s="224"/>
      <c r="IQ485" s="121"/>
      <c r="IR485" s="121"/>
      <c r="IS485" s="121"/>
      <c r="IT485" s="121"/>
      <c r="IU485" s="121"/>
    </row>
    <row r="486" spans="2:255" s="124" customFormat="1" ht="17.25" customHeight="1" hidden="1">
      <c r="B486" s="125" t="s">
        <v>38</v>
      </c>
      <c r="C486" s="126"/>
      <c r="D486" s="118">
        <v>0</v>
      </c>
      <c r="E486" s="118"/>
      <c r="F486" s="118"/>
      <c r="G486" s="127"/>
      <c r="H486" s="118"/>
      <c r="I486" s="118"/>
      <c r="J486" s="127"/>
      <c r="K486" s="118"/>
      <c r="L486" s="118"/>
      <c r="M486" s="127">
        <v>0</v>
      </c>
      <c r="N486" s="118"/>
      <c r="O486" s="118"/>
      <c r="P486" s="127">
        <v>0</v>
      </c>
      <c r="Q486" s="120"/>
      <c r="R486" s="218"/>
      <c r="S486" s="218"/>
      <c r="Z486" s="218"/>
      <c r="AA486" s="218"/>
      <c r="IQ486" s="128"/>
      <c r="IR486" s="128"/>
      <c r="IS486" s="128"/>
      <c r="IT486" s="128"/>
      <c r="IU486" s="128"/>
    </row>
    <row r="487" spans="2:255" s="124" customFormat="1" ht="15" hidden="1">
      <c r="B487" s="125" t="s">
        <v>39</v>
      </c>
      <c r="C487" s="126"/>
      <c r="D487" s="118">
        <f t="shared" si="138"/>
        <v>0</v>
      </c>
      <c r="E487" s="118"/>
      <c r="F487" s="118"/>
      <c r="G487" s="127"/>
      <c r="H487" s="118"/>
      <c r="I487" s="118"/>
      <c r="J487" s="127"/>
      <c r="K487" s="118"/>
      <c r="L487" s="118"/>
      <c r="M487" s="127">
        <f>G482</f>
        <v>0</v>
      </c>
      <c r="N487" s="118"/>
      <c r="O487" s="118"/>
      <c r="P487" s="127">
        <f>M482</f>
        <v>0</v>
      </c>
      <c r="Q487" s="120"/>
      <c r="R487" s="218"/>
      <c r="S487" s="218"/>
      <c r="Z487" s="218"/>
      <c r="AA487" s="218"/>
      <c r="IQ487" s="128"/>
      <c r="IR487" s="128"/>
      <c r="IS487" s="128"/>
      <c r="IT487" s="128"/>
      <c r="IU487" s="128"/>
    </row>
    <row r="488" spans="2:255" s="124" customFormat="1" ht="19.5" customHeight="1" hidden="1">
      <c r="B488" s="125" t="s">
        <v>40</v>
      </c>
      <c r="C488" s="126"/>
      <c r="D488" s="118">
        <f t="shared" si="138"/>
        <v>0</v>
      </c>
      <c r="E488" s="118"/>
      <c r="F488" s="118"/>
      <c r="G488" s="127"/>
      <c r="H488" s="118"/>
      <c r="I488" s="118"/>
      <c r="J488" s="127"/>
      <c r="K488" s="118"/>
      <c r="L488" s="118"/>
      <c r="M488" s="127"/>
      <c r="N488" s="118"/>
      <c r="O488" s="118"/>
      <c r="P488" s="127"/>
      <c r="Q488" s="120"/>
      <c r="R488" s="218"/>
      <c r="S488" s="218"/>
      <c r="Z488" s="218"/>
      <c r="AA488" s="218"/>
      <c r="IQ488" s="128"/>
      <c r="IR488" s="128"/>
      <c r="IS488" s="128"/>
      <c r="IT488" s="128"/>
      <c r="IU488" s="128"/>
    </row>
    <row r="489" spans="2:255" s="124" customFormat="1" ht="24.75" customHeight="1" hidden="1">
      <c r="B489" s="129" t="s">
        <v>41</v>
      </c>
      <c r="C489" s="126"/>
      <c r="D489" s="118">
        <v>0</v>
      </c>
      <c r="E489" s="118"/>
      <c r="F489" s="118"/>
      <c r="G489" s="127"/>
      <c r="H489" s="118"/>
      <c r="I489" s="118"/>
      <c r="J489" s="127"/>
      <c r="K489" s="118"/>
      <c r="L489" s="118">
        <v>30</v>
      </c>
      <c r="M489" s="127">
        <v>0</v>
      </c>
      <c r="N489" s="118"/>
      <c r="O489" s="118"/>
      <c r="P489" s="127">
        <v>0</v>
      </c>
      <c r="Q489" s="120"/>
      <c r="R489" s="218"/>
      <c r="S489" s="218"/>
      <c r="Z489" s="218"/>
      <c r="AA489" s="218"/>
      <c r="IQ489" s="128"/>
      <c r="IR489" s="128"/>
      <c r="IS489" s="128"/>
      <c r="IT489" s="128"/>
      <c r="IU489" s="128"/>
    </row>
    <row r="490" spans="1:255" s="93" customFormat="1" ht="28.5" customHeight="1">
      <c r="A490" s="93">
        <v>49</v>
      </c>
      <c r="B490" s="78" t="s">
        <v>119</v>
      </c>
      <c r="C490" s="28" t="s">
        <v>121</v>
      </c>
      <c r="D490" s="41">
        <f t="shared" si="138"/>
        <v>6000</v>
      </c>
      <c r="E490" s="101">
        <f>E491+E496+E499</f>
        <v>0</v>
      </c>
      <c r="F490" s="102"/>
      <c r="G490" s="29">
        <f>G491+G492+G493</f>
        <v>1750</v>
      </c>
      <c r="H490" s="101">
        <f>H491+H496+H499</f>
        <v>0</v>
      </c>
      <c r="I490" s="102"/>
      <c r="J490" s="29">
        <f aca="true" t="shared" si="139" ref="J490:P490">J491+J492+J493</f>
        <v>0</v>
      </c>
      <c r="K490" s="29">
        <f t="shared" si="139"/>
        <v>0</v>
      </c>
      <c r="L490" s="29">
        <f t="shared" si="139"/>
        <v>0</v>
      </c>
      <c r="M490" s="29">
        <f t="shared" si="139"/>
        <v>4250</v>
      </c>
      <c r="N490" s="29">
        <f t="shared" si="139"/>
        <v>0</v>
      </c>
      <c r="O490" s="29">
        <f t="shared" si="139"/>
        <v>0</v>
      </c>
      <c r="P490" s="29">
        <f t="shared" si="139"/>
        <v>0</v>
      </c>
      <c r="Q490" s="29">
        <f>G490+J490+M490+P490</f>
        <v>6000</v>
      </c>
      <c r="R490" s="212"/>
      <c r="S490" s="212"/>
      <c r="Z490" s="233">
        <v>0</v>
      </c>
      <c r="AA490" s="226">
        <f>D490+Z490</f>
        <v>6000</v>
      </c>
      <c r="IQ490" s="95"/>
      <c r="IR490" s="95"/>
      <c r="IS490" s="95"/>
      <c r="IT490" s="95"/>
      <c r="IU490" s="95"/>
    </row>
    <row r="491" spans="2:255" s="93" customFormat="1" ht="15" customHeight="1">
      <c r="B491" s="43" t="s">
        <v>35</v>
      </c>
      <c r="C491" s="44"/>
      <c r="D491" s="45">
        <f t="shared" si="138"/>
        <v>901</v>
      </c>
      <c r="E491" s="82">
        <v>0</v>
      </c>
      <c r="F491" s="83"/>
      <c r="G491" s="33">
        <v>263</v>
      </c>
      <c r="H491" s="45">
        <v>0</v>
      </c>
      <c r="I491" s="53"/>
      <c r="J491" s="33">
        <f>H491+I491</f>
        <v>0</v>
      </c>
      <c r="K491" s="45"/>
      <c r="L491" s="53"/>
      <c r="M491" s="33">
        <v>638</v>
      </c>
      <c r="N491" s="45">
        <v>0</v>
      </c>
      <c r="O491" s="53"/>
      <c r="P491" s="33">
        <f>N491+O491</f>
        <v>0</v>
      </c>
      <c r="Q491" s="29">
        <f>G491+J491+M491+P491</f>
        <v>901</v>
      </c>
      <c r="R491" s="212"/>
      <c r="S491" s="212"/>
      <c r="Z491" s="209">
        <v>0</v>
      </c>
      <c r="AA491" s="130">
        <f>D491+Z491</f>
        <v>901</v>
      </c>
      <c r="IQ491" s="95"/>
      <c r="IR491" s="95"/>
      <c r="IS491" s="95"/>
      <c r="IT491" s="95"/>
      <c r="IU491" s="95"/>
    </row>
    <row r="492" spans="2:255" s="93" customFormat="1" ht="15" customHeight="1">
      <c r="B492" s="43" t="s">
        <v>36</v>
      </c>
      <c r="C492" s="44"/>
      <c r="D492" s="45">
        <f t="shared" si="138"/>
        <v>5099</v>
      </c>
      <c r="E492" s="82"/>
      <c r="F492" s="83"/>
      <c r="G492" s="33">
        <f>1750-G491</f>
        <v>1487</v>
      </c>
      <c r="H492" s="45"/>
      <c r="I492" s="53"/>
      <c r="J492" s="33"/>
      <c r="K492" s="45"/>
      <c r="L492" s="53"/>
      <c r="M492" s="33">
        <f>4250-M491</f>
        <v>3612</v>
      </c>
      <c r="N492" s="45"/>
      <c r="O492" s="53"/>
      <c r="P492" s="33"/>
      <c r="Q492" s="29"/>
      <c r="R492" s="212"/>
      <c r="S492" s="212"/>
      <c r="Z492" s="209">
        <v>0</v>
      </c>
      <c r="AA492" s="130">
        <f>D492+Z492</f>
        <v>5099</v>
      </c>
      <c r="IQ492" s="95"/>
      <c r="IR492" s="95"/>
      <c r="IS492" s="95"/>
      <c r="IT492" s="95"/>
      <c r="IU492" s="95"/>
    </row>
    <row r="493" spans="2:255" s="93" customFormat="1" ht="15" customHeight="1">
      <c r="B493" s="43" t="s">
        <v>37</v>
      </c>
      <c r="C493" s="44"/>
      <c r="D493" s="45">
        <f t="shared" si="138"/>
        <v>0</v>
      </c>
      <c r="E493" s="82">
        <v>0</v>
      </c>
      <c r="F493" s="83"/>
      <c r="G493" s="33">
        <f>E493+F493</f>
        <v>0</v>
      </c>
      <c r="H493" s="45">
        <v>0</v>
      </c>
      <c r="I493" s="53"/>
      <c r="J493" s="33">
        <f>H493+I493</f>
        <v>0</v>
      </c>
      <c r="K493" s="45"/>
      <c r="L493" s="53"/>
      <c r="M493" s="33">
        <v>0</v>
      </c>
      <c r="N493" s="82">
        <v>0</v>
      </c>
      <c r="O493" s="83"/>
      <c r="P493" s="29">
        <f>N493+O493</f>
        <v>0</v>
      </c>
      <c r="Q493" s="29">
        <f>G493+J493+M493+P493</f>
        <v>0</v>
      </c>
      <c r="R493" s="212"/>
      <c r="S493" s="212"/>
      <c r="Z493" s="209">
        <v>0</v>
      </c>
      <c r="AA493" s="130">
        <f>D493+Z493</f>
        <v>0</v>
      </c>
      <c r="IQ493" s="95"/>
      <c r="IR493" s="95"/>
      <c r="IS493" s="95"/>
      <c r="IT493" s="95"/>
      <c r="IU493" s="95"/>
    </row>
    <row r="494" spans="2:255" s="93" customFormat="1" ht="15" customHeight="1" hidden="1">
      <c r="B494" s="43"/>
      <c r="C494" s="44"/>
      <c r="D494" s="45"/>
      <c r="E494" s="82"/>
      <c r="F494" s="83"/>
      <c r="G494" s="29"/>
      <c r="H494" s="82"/>
      <c r="I494" s="83"/>
      <c r="J494" s="29"/>
      <c r="K494" s="82"/>
      <c r="L494" s="83"/>
      <c r="M494" s="29"/>
      <c r="N494" s="82"/>
      <c r="O494" s="83"/>
      <c r="P494" s="29"/>
      <c r="Q494" s="29"/>
      <c r="R494" s="212"/>
      <c r="S494" s="212"/>
      <c r="Z494" s="216"/>
      <c r="AA494" s="216"/>
      <c r="IQ494" s="95"/>
      <c r="IR494" s="95"/>
      <c r="IS494" s="95"/>
      <c r="IT494" s="95"/>
      <c r="IU494" s="95"/>
    </row>
    <row r="495" spans="2:255" s="93" customFormat="1" ht="15" customHeight="1" hidden="1">
      <c r="B495" s="43"/>
      <c r="C495" s="44" t="s">
        <v>51</v>
      </c>
      <c r="D495" s="41">
        <f>G495+J495+M495+P495</f>
        <v>6000</v>
      </c>
      <c r="E495" s="101"/>
      <c r="F495" s="102"/>
      <c r="G495" s="29"/>
      <c r="H495" s="29">
        <f>SUM(H496:H499)</f>
        <v>0</v>
      </c>
      <c r="I495" s="29">
        <f>SUM(I496:I499)</f>
        <v>0</v>
      </c>
      <c r="J495" s="29">
        <f>SUM(J496:J499)</f>
        <v>0</v>
      </c>
      <c r="K495" s="29"/>
      <c r="L495" s="29"/>
      <c r="M495" s="29">
        <f>SUM(M496:M499)</f>
        <v>1750</v>
      </c>
      <c r="N495" s="29">
        <f>SUM(N496:N499)</f>
        <v>0</v>
      </c>
      <c r="O495" s="29">
        <f>SUM(O496:O499)</f>
        <v>0</v>
      </c>
      <c r="P495" s="29">
        <f>SUM(P496:P499)</f>
        <v>4250</v>
      </c>
      <c r="Q495" s="29"/>
      <c r="R495" s="212"/>
      <c r="S495" s="212"/>
      <c r="Z495" s="216"/>
      <c r="AA495" s="216"/>
      <c r="IQ495" s="95"/>
      <c r="IR495" s="95"/>
      <c r="IS495" s="95"/>
      <c r="IT495" s="95"/>
      <c r="IU495" s="95"/>
    </row>
    <row r="496" spans="2:255" s="77" customFormat="1" ht="17.25" customHeight="1" hidden="1">
      <c r="B496" s="38" t="s">
        <v>38</v>
      </c>
      <c r="C496" s="65"/>
      <c r="D496" s="45">
        <f>G496+J496+M496+P496</f>
        <v>781</v>
      </c>
      <c r="E496" s="45"/>
      <c r="F496" s="53"/>
      <c r="G496" s="33"/>
      <c r="H496" s="45"/>
      <c r="I496" s="53"/>
      <c r="J496" s="33"/>
      <c r="K496" s="45"/>
      <c r="L496" s="53"/>
      <c r="M496" s="33">
        <v>228</v>
      </c>
      <c r="N496" s="45"/>
      <c r="O496" s="53"/>
      <c r="P496" s="33">
        <v>553</v>
      </c>
      <c r="Q496" s="29"/>
      <c r="R496" s="209"/>
      <c r="S496" s="209"/>
      <c r="Z496" s="209"/>
      <c r="AA496" s="209"/>
      <c r="IQ496" s="80"/>
      <c r="IR496" s="80"/>
      <c r="IS496" s="80"/>
      <c r="IT496" s="80"/>
      <c r="IU496" s="80"/>
    </row>
    <row r="497" spans="2:255" s="77" customFormat="1" ht="15" hidden="1">
      <c r="B497" s="38" t="s">
        <v>39</v>
      </c>
      <c r="C497" s="65"/>
      <c r="D497" s="45">
        <f>G497+J497+M497+P497</f>
        <v>5099</v>
      </c>
      <c r="E497" s="45"/>
      <c r="F497" s="53"/>
      <c r="G497" s="33"/>
      <c r="H497" s="45"/>
      <c r="I497" s="53"/>
      <c r="J497" s="33"/>
      <c r="K497" s="45"/>
      <c r="L497" s="53"/>
      <c r="M497" s="33">
        <f>G492</f>
        <v>1487</v>
      </c>
      <c r="N497" s="45"/>
      <c r="O497" s="53"/>
      <c r="P497" s="33">
        <f>M492</f>
        <v>3612</v>
      </c>
      <c r="Q497" s="29"/>
      <c r="R497" s="209"/>
      <c r="S497" s="209"/>
      <c r="Z497" s="209"/>
      <c r="AA497" s="209"/>
      <c r="IQ497" s="80"/>
      <c r="IR497" s="80"/>
      <c r="IS497" s="80"/>
      <c r="IT497" s="80"/>
      <c r="IU497" s="80"/>
    </row>
    <row r="498" spans="2:255" s="77" customFormat="1" ht="19.5" customHeight="1" hidden="1">
      <c r="B498" s="38" t="s">
        <v>40</v>
      </c>
      <c r="C498" s="65"/>
      <c r="D498" s="45">
        <f>G498+J498+M498+P498</f>
        <v>0</v>
      </c>
      <c r="E498" s="45"/>
      <c r="F498" s="53"/>
      <c r="G498" s="33"/>
      <c r="H498" s="45"/>
      <c r="I498" s="53"/>
      <c r="J498" s="33"/>
      <c r="K498" s="45"/>
      <c r="L498" s="53"/>
      <c r="M498" s="33"/>
      <c r="N498" s="45"/>
      <c r="O498" s="53"/>
      <c r="P498" s="33"/>
      <c r="Q498" s="29"/>
      <c r="R498" s="209"/>
      <c r="S498" s="209"/>
      <c r="Z498" s="209"/>
      <c r="AA498" s="209"/>
      <c r="IQ498" s="80"/>
      <c r="IR498" s="80"/>
      <c r="IS498" s="80"/>
      <c r="IT498" s="80"/>
      <c r="IU498" s="80"/>
    </row>
    <row r="499" spans="2:255" s="77" customFormat="1" ht="24" customHeight="1" hidden="1">
      <c r="B499" s="49" t="s">
        <v>41</v>
      </c>
      <c r="C499" s="65"/>
      <c r="D499" s="45">
        <f>G499+J499+M499+P499</f>
        <v>120</v>
      </c>
      <c r="E499" s="45"/>
      <c r="F499" s="53"/>
      <c r="G499" s="33"/>
      <c r="H499" s="45"/>
      <c r="I499" s="53"/>
      <c r="J499" s="33"/>
      <c r="K499" s="45"/>
      <c r="L499" s="53">
        <v>30</v>
      </c>
      <c r="M499" s="33">
        <v>35</v>
      </c>
      <c r="N499" s="45"/>
      <c r="O499" s="53"/>
      <c r="P499" s="33">
        <v>85</v>
      </c>
      <c r="Q499" s="29"/>
      <c r="R499" s="209"/>
      <c r="S499" s="209"/>
      <c r="Z499" s="209"/>
      <c r="AA499" s="209"/>
      <c r="IQ499" s="80"/>
      <c r="IR499" s="80"/>
      <c r="IS499" s="80"/>
      <c r="IT499" s="80"/>
      <c r="IU499" s="80"/>
    </row>
    <row r="500" spans="2:255" s="87" customFormat="1" ht="16.5" customHeight="1">
      <c r="B500" s="247" t="s">
        <v>122</v>
      </c>
      <c r="C500" s="247"/>
      <c r="D500" s="29">
        <f aca="true" t="shared" si="140" ref="D500:P500">D449+D460+D469+D480+D490</f>
        <v>8200</v>
      </c>
      <c r="E500" s="29">
        <f t="shared" si="140"/>
        <v>451</v>
      </c>
      <c r="F500" s="29">
        <f t="shared" si="140"/>
        <v>0</v>
      </c>
      <c r="G500" s="29">
        <f t="shared" si="140"/>
        <v>2450</v>
      </c>
      <c r="H500" s="29">
        <f t="shared" si="140"/>
        <v>0</v>
      </c>
      <c r="I500" s="29">
        <f t="shared" si="140"/>
        <v>0</v>
      </c>
      <c r="J500" s="29">
        <f t="shared" si="140"/>
        <v>0</v>
      </c>
      <c r="K500" s="29">
        <f t="shared" si="140"/>
        <v>0</v>
      </c>
      <c r="L500" s="29">
        <f t="shared" si="140"/>
        <v>0</v>
      </c>
      <c r="M500" s="29">
        <f t="shared" si="140"/>
        <v>4250</v>
      </c>
      <c r="N500" s="29">
        <f t="shared" si="140"/>
        <v>0</v>
      </c>
      <c r="O500" s="29">
        <f t="shared" si="140"/>
        <v>200</v>
      </c>
      <c r="P500" s="29">
        <f t="shared" si="140"/>
        <v>1500</v>
      </c>
      <c r="Q500" s="29" t="e">
        <f>Q469+#REF!+#REF!</f>
        <v>#REF!</v>
      </c>
      <c r="R500" s="211"/>
      <c r="S500" s="211"/>
      <c r="Z500" s="223"/>
      <c r="AA500" s="226">
        <f>D500+Z500</f>
        <v>8200</v>
      </c>
      <c r="IQ500" s="90"/>
      <c r="IR500" s="90"/>
      <c r="IS500" s="90"/>
      <c r="IT500" s="90"/>
      <c r="IU500" s="90"/>
    </row>
    <row r="501" spans="2:255" s="77" customFormat="1" ht="16.5" customHeight="1">
      <c r="B501" s="250" t="s">
        <v>123</v>
      </c>
      <c r="C501" s="250"/>
      <c r="D501" s="250"/>
      <c r="E501" s="45"/>
      <c r="F501" s="53"/>
      <c r="G501" s="29">
        <f>E501+F501</f>
        <v>0</v>
      </c>
      <c r="H501" s="45"/>
      <c r="I501" s="53"/>
      <c r="J501" s="29">
        <f>H501+I501</f>
        <v>0</v>
      </c>
      <c r="K501" s="45"/>
      <c r="L501" s="53"/>
      <c r="M501" s="29">
        <f>K501+L501</f>
        <v>0</v>
      </c>
      <c r="N501" s="130"/>
      <c r="O501" s="131"/>
      <c r="P501" s="29">
        <f aca="true" t="shared" si="141" ref="P501:P509">N501+O501</f>
        <v>0</v>
      </c>
      <c r="Q501" s="29">
        <f aca="true" t="shared" si="142" ref="Q501:Q509">G501+J501+M501+P501</f>
        <v>0</v>
      </c>
      <c r="R501" s="210"/>
      <c r="S501" s="210"/>
      <c r="Z501" s="209"/>
      <c r="AA501" s="209"/>
      <c r="IQ501" s="80"/>
      <c r="IR501" s="80"/>
      <c r="IS501" s="80"/>
      <c r="IT501" s="80"/>
      <c r="IU501" s="80"/>
    </row>
    <row r="502" spans="1:255" s="77" customFormat="1" ht="30" customHeight="1">
      <c r="A502" s="77">
        <v>50</v>
      </c>
      <c r="B502" s="78" t="s">
        <v>124</v>
      </c>
      <c r="C502" s="23" t="s">
        <v>125</v>
      </c>
      <c r="D502" s="29">
        <f>SUM(D503:D505)</f>
        <v>1910</v>
      </c>
      <c r="E502" s="41">
        <f>E503+E504+E505</f>
        <v>2351</v>
      </c>
      <c r="F502" s="42"/>
      <c r="G502" s="29">
        <f>SUM(G503:G505)</f>
        <v>1910</v>
      </c>
      <c r="H502" s="41">
        <f>H503+H504+H505</f>
        <v>1845</v>
      </c>
      <c r="I502" s="42"/>
      <c r="J502" s="29">
        <v>0</v>
      </c>
      <c r="K502" s="41">
        <f>K503+K504+K505</f>
        <v>2558</v>
      </c>
      <c r="L502" s="42"/>
      <c r="M502" s="29">
        <v>0</v>
      </c>
      <c r="N502" s="41">
        <f>N503+N504+N505</f>
        <v>0</v>
      </c>
      <c r="O502" s="42"/>
      <c r="P502" s="29">
        <f t="shared" si="141"/>
        <v>0</v>
      </c>
      <c r="Q502" s="29">
        <f t="shared" si="142"/>
        <v>1910</v>
      </c>
      <c r="R502" s="210"/>
      <c r="S502" s="210"/>
      <c r="Z502" s="233">
        <v>0</v>
      </c>
      <c r="AA502" s="226">
        <f>D502+Z502</f>
        <v>1910</v>
      </c>
      <c r="IQ502" s="80"/>
      <c r="IR502" s="80"/>
      <c r="IS502" s="80"/>
      <c r="IT502" s="80"/>
      <c r="IU502" s="80"/>
    </row>
    <row r="503" spans="2:255" s="77" customFormat="1" ht="16.5" customHeight="1">
      <c r="B503" s="43" t="s">
        <v>35</v>
      </c>
      <c r="C503" s="81"/>
      <c r="D503" s="33">
        <v>190</v>
      </c>
      <c r="E503" s="82">
        <v>353</v>
      </c>
      <c r="F503" s="83"/>
      <c r="G503" s="33">
        <v>190</v>
      </c>
      <c r="H503" s="82">
        <v>247</v>
      </c>
      <c r="I503" s="83"/>
      <c r="J503" s="33">
        <v>0</v>
      </c>
      <c r="K503" s="45">
        <v>317</v>
      </c>
      <c r="L503" s="53"/>
      <c r="M503" s="33">
        <v>0</v>
      </c>
      <c r="N503" s="45">
        <v>0</v>
      </c>
      <c r="O503" s="53"/>
      <c r="P503" s="33">
        <f t="shared" si="141"/>
        <v>0</v>
      </c>
      <c r="Q503" s="29">
        <f t="shared" si="142"/>
        <v>190</v>
      </c>
      <c r="R503" s="210"/>
      <c r="S503" s="210"/>
      <c r="Z503" s="209">
        <v>0</v>
      </c>
      <c r="AA503" s="130">
        <f>D503+Z503</f>
        <v>190</v>
      </c>
      <c r="IQ503" s="80"/>
      <c r="IR503" s="80"/>
      <c r="IS503" s="80"/>
      <c r="IT503" s="80"/>
      <c r="IU503" s="80"/>
    </row>
    <row r="504" spans="2:255" s="77" customFormat="1" ht="16.5" customHeight="1">
      <c r="B504" s="43" t="s">
        <v>36</v>
      </c>
      <c r="C504" s="85"/>
      <c r="D504" s="33">
        <v>1074</v>
      </c>
      <c r="E504" s="82">
        <v>1998</v>
      </c>
      <c r="F504" s="83"/>
      <c r="G504" s="33">
        <v>1074</v>
      </c>
      <c r="H504" s="82">
        <v>1398</v>
      </c>
      <c r="I504" s="83"/>
      <c r="J504" s="33">
        <v>0</v>
      </c>
      <c r="K504" s="45">
        <v>1795</v>
      </c>
      <c r="L504" s="53"/>
      <c r="M504" s="33">
        <v>0</v>
      </c>
      <c r="N504" s="45">
        <v>0</v>
      </c>
      <c r="O504" s="53"/>
      <c r="P504" s="33">
        <f t="shared" si="141"/>
        <v>0</v>
      </c>
      <c r="Q504" s="29">
        <f t="shared" si="142"/>
        <v>1074</v>
      </c>
      <c r="R504" s="210"/>
      <c r="S504" s="210"/>
      <c r="Z504" s="209">
        <v>0</v>
      </c>
      <c r="AA504" s="130">
        <f>D504+Z504</f>
        <v>1074</v>
      </c>
      <c r="IQ504" s="80"/>
      <c r="IR504" s="80"/>
      <c r="IS504" s="80"/>
      <c r="IT504" s="80"/>
      <c r="IU504" s="80"/>
    </row>
    <row r="505" spans="2:255" s="77" customFormat="1" ht="15" customHeight="1">
      <c r="B505" s="43" t="s">
        <v>37</v>
      </c>
      <c r="C505" s="85"/>
      <c r="D505" s="33">
        <v>646</v>
      </c>
      <c r="E505" s="82">
        <v>0</v>
      </c>
      <c r="F505" s="83"/>
      <c r="G505" s="33">
        <v>646</v>
      </c>
      <c r="H505" s="82">
        <v>200</v>
      </c>
      <c r="I505" s="83"/>
      <c r="J505" s="33">
        <v>0</v>
      </c>
      <c r="K505" s="45">
        <v>446</v>
      </c>
      <c r="L505" s="53"/>
      <c r="M505" s="33">
        <v>0</v>
      </c>
      <c r="N505" s="45">
        <v>0</v>
      </c>
      <c r="O505" s="53"/>
      <c r="P505" s="33">
        <f t="shared" si="141"/>
        <v>0</v>
      </c>
      <c r="Q505" s="29">
        <f t="shared" si="142"/>
        <v>646</v>
      </c>
      <c r="R505" s="210"/>
      <c r="S505" s="210"/>
      <c r="Z505" s="209">
        <v>0</v>
      </c>
      <c r="AA505" s="130">
        <f>D505+Z505</f>
        <v>646</v>
      </c>
      <c r="IQ505" s="80"/>
      <c r="IR505" s="80"/>
      <c r="IS505" s="80"/>
      <c r="IT505" s="80"/>
      <c r="IU505" s="80"/>
    </row>
    <row r="506" spans="2:255" s="77" customFormat="1" ht="13.5" customHeight="1" hidden="1">
      <c r="B506" s="38"/>
      <c r="C506" s="85"/>
      <c r="D506" s="82"/>
      <c r="E506" s="82"/>
      <c r="F506" s="83"/>
      <c r="G506" s="33">
        <f>E506+F506</f>
        <v>0</v>
      </c>
      <c r="H506" s="82"/>
      <c r="I506" s="83"/>
      <c r="J506" s="33">
        <f>H506+I506</f>
        <v>0</v>
      </c>
      <c r="K506" s="45"/>
      <c r="L506" s="53"/>
      <c r="M506" s="33">
        <f>K506+L506</f>
        <v>0</v>
      </c>
      <c r="N506" s="45"/>
      <c r="O506" s="53"/>
      <c r="P506" s="33">
        <f t="shared" si="141"/>
        <v>0</v>
      </c>
      <c r="Q506" s="29">
        <f t="shared" si="142"/>
        <v>0</v>
      </c>
      <c r="R506" s="210"/>
      <c r="S506" s="210"/>
      <c r="Z506" s="209"/>
      <c r="AA506" s="209"/>
      <c r="IQ506" s="80"/>
      <c r="IR506" s="80"/>
      <c r="IS506" s="80"/>
      <c r="IT506" s="80"/>
      <c r="IU506" s="80"/>
    </row>
    <row r="507" spans="2:255" s="87" customFormat="1" ht="15.75" customHeight="1" hidden="1">
      <c r="B507" s="39"/>
      <c r="C507" s="86"/>
      <c r="D507" s="29">
        <f>SUM(D508:D512)</f>
        <v>4338</v>
      </c>
      <c r="E507" s="41">
        <f>E508+E509+E511+E512</f>
        <v>2171</v>
      </c>
      <c r="F507" s="42"/>
      <c r="G507" s="29">
        <f>SUM(G508:G512)</f>
        <v>674</v>
      </c>
      <c r="H507" s="41">
        <f>H508+H509+H511+H512</f>
        <v>1845</v>
      </c>
      <c r="I507" s="42"/>
      <c r="J507" s="29">
        <f>J508+J511</f>
        <v>2428</v>
      </c>
      <c r="K507" s="41">
        <f>K508+K509+K511+K512</f>
        <v>2558</v>
      </c>
      <c r="L507" s="42"/>
      <c r="M507" s="29">
        <f>SUM(M508:M512)</f>
        <v>1236</v>
      </c>
      <c r="N507" s="45">
        <f>N508+N509+N511+N512</f>
        <v>0</v>
      </c>
      <c r="O507" s="53"/>
      <c r="P507" s="33">
        <f t="shared" si="141"/>
        <v>0</v>
      </c>
      <c r="Q507" s="29">
        <f t="shared" si="142"/>
        <v>4338</v>
      </c>
      <c r="R507" s="211"/>
      <c r="S507" s="211"/>
      <c r="Z507" s="223"/>
      <c r="AA507" s="223"/>
      <c r="IQ507" s="90"/>
      <c r="IR507" s="90"/>
      <c r="IS507" s="90"/>
      <c r="IT507" s="90"/>
      <c r="IU507" s="90"/>
    </row>
    <row r="508" spans="2:255" s="77" customFormat="1" ht="15.75" customHeight="1" hidden="1">
      <c r="B508" s="38" t="s">
        <v>38</v>
      </c>
      <c r="C508" s="65"/>
      <c r="D508" s="33">
        <f>J508+M508</f>
        <v>484</v>
      </c>
      <c r="E508" s="45">
        <v>306</v>
      </c>
      <c r="F508" s="53"/>
      <c r="G508" s="33">
        <v>0</v>
      </c>
      <c r="H508" s="45">
        <v>214</v>
      </c>
      <c r="I508" s="53"/>
      <c r="J508" s="33">
        <v>322</v>
      </c>
      <c r="K508" s="45">
        <v>275</v>
      </c>
      <c r="L508" s="53">
        <v>5</v>
      </c>
      <c r="M508" s="33">
        <v>162</v>
      </c>
      <c r="N508" s="45">
        <v>0</v>
      </c>
      <c r="O508" s="53"/>
      <c r="P508" s="33">
        <f t="shared" si="141"/>
        <v>0</v>
      </c>
      <c r="Q508" s="29">
        <f t="shared" si="142"/>
        <v>484</v>
      </c>
      <c r="R508" s="210"/>
      <c r="S508" s="210"/>
      <c r="Z508" s="209"/>
      <c r="AA508" s="209"/>
      <c r="IQ508" s="80"/>
      <c r="IR508" s="80"/>
      <c r="IS508" s="80"/>
      <c r="IT508" s="80"/>
      <c r="IU508" s="80"/>
    </row>
    <row r="509" spans="2:255" s="77" customFormat="1" ht="15.75" customHeight="1" hidden="1">
      <c r="B509" s="38" t="s">
        <v>39</v>
      </c>
      <c r="C509" s="65"/>
      <c r="D509" s="33">
        <f>M509</f>
        <v>1074</v>
      </c>
      <c r="E509" s="45">
        <f>1998-180</f>
        <v>1818</v>
      </c>
      <c r="F509" s="53"/>
      <c r="G509" s="33">
        <v>0</v>
      </c>
      <c r="H509" s="45">
        <v>1398</v>
      </c>
      <c r="I509" s="53"/>
      <c r="J509" s="33">
        <v>0</v>
      </c>
      <c r="K509" s="45">
        <v>1795</v>
      </c>
      <c r="L509" s="53">
        <v>25</v>
      </c>
      <c r="M509" s="33">
        <v>1074</v>
      </c>
      <c r="N509" s="45">
        <v>0</v>
      </c>
      <c r="O509" s="53"/>
      <c r="P509" s="33">
        <f t="shared" si="141"/>
        <v>0</v>
      </c>
      <c r="Q509" s="29">
        <f t="shared" si="142"/>
        <v>1074</v>
      </c>
      <c r="R509" s="210"/>
      <c r="S509" s="210"/>
      <c r="Z509" s="209"/>
      <c r="AA509" s="209"/>
      <c r="IQ509" s="80"/>
      <c r="IR509" s="80"/>
      <c r="IS509" s="80"/>
      <c r="IT509" s="80"/>
      <c r="IU509" s="80"/>
    </row>
    <row r="510" spans="2:255" s="77" customFormat="1" ht="15.75" customHeight="1" hidden="1">
      <c r="B510" s="38" t="s">
        <v>40</v>
      </c>
      <c r="C510" s="65"/>
      <c r="D510" s="33"/>
      <c r="E510" s="45"/>
      <c r="F510" s="53"/>
      <c r="G510" s="33"/>
      <c r="H510" s="45"/>
      <c r="I510" s="53"/>
      <c r="J510" s="33"/>
      <c r="K510" s="45"/>
      <c r="L510" s="53"/>
      <c r="M510" s="33"/>
      <c r="N510" s="45"/>
      <c r="O510" s="53"/>
      <c r="P510" s="33"/>
      <c r="Q510" s="29"/>
      <c r="R510" s="210"/>
      <c r="S510" s="210"/>
      <c r="Z510" s="209"/>
      <c r="AA510" s="209"/>
      <c r="IQ510" s="80"/>
      <c r="IR510" s="80"/>
      <c r="IS510" s="80"/>
      <c r="IT510" s="80"/>
      <c r="IU510" s="80"/>
    </row>
    <row r="511" spans="2:255" s="77" customFormat="1" ht="15.75" customHeight="1" hidden="1">
      <c r="B511" s="38" t="s">
        <v>49</v>
      </c>
      <c r="C511" s="65"/>
      <c r="D511" s="33">
        <f>J511</f>
        <v>2106</v>
      </c>
      <c r="E511" s="45">
        <v>0</v>
      </c>
      <c r="F511" s="53"/>
      <c r="G511" s="33">
        <f>E511+F511</f>
        <v>0</v>
      </c>
      <c r="H511" s="45">
        <v>0</v>
      </c>
      <c r="I511" s="53"/>
      <c r="J511" s="33">
        <v>2106</v>
      </c>
      <c r="K511" s="45">
        <v>0</v>
      </c>
      <c r="L511" s="53"/>
      <c r="M511" s="33">
        <f>K511+L511</f>
        <v>0</v>
      </c>
      <c r="N511" s="45">
        <v>0</v>
      </c>
      <c r="O511" s="53"/>
      <c r="P511" s="33">
        <f>N511+O511</f>
        <v>0</v>
      </c>
      <c r="Q511" s="29">
        <f>G511+J511+M511+P511</f>
        <v>2106</v>
      </c>
      <c r="R511" s="210"/>
      <c r="S511" s="210"/>
      <c r="Z511" s="209"/>
      <c r="AA511" s="209"/>
      <c r="IQ511" s="80"/>
      <c r="IR511" s="80"/>
      <c r="IS511" s="80"/>
      <c r="IT511" s="80"/>
      <c r="IU511" s="80"/>
    </row>
    <row r="512" spans="2:255" s="93" customFormat="1" ht="30" hidden="1">
      <c r="B512" s="49" t="s">
        <v>41</v>
      </c>
      <c r="C512" s="94"/>
      <c r="D512" s="33">
        <f>G512</f>
        <v>674</v>
      </c>
      <c r="E512" s="33">
        <v>47</v>
      </c>
      <c r="F512" s="34"/>
      <c r="G512" s="33">
        <v>674</v>
      </c>
      <c r="H512" s="45">
        <v>233</v>
      </c>
      <c r="I512" s="53"/>
      <c r="J512" s="33">
        <v>0</v>
      </c>
      <c r="K512" s="45">
        <v>488</v>
      </c>
      <c r="L512" s="53">
        <v>-30</v>
      </c>
      <c r="M512" s="33">
        <v>0</v>
      </c>
      <c r="N512" s="45">
        <v>0</v>
      </c>
      <c r="O512" s="53"/>
      <c r="P512" s="33">
        <f>N512+O512</f>
        <v>0</v>
      </c>
      <c r="Q512" s="29">
        <f>G512+J512+M512+P512</f>
        <v>674</v>
      </c>
      <c r="R512" s="212"/>
      <c r="S512" s="212"/>
      <c r="Z512" s="216"/>
      <c r="AA512" s="216"/>
      <c r="IQ512" s="95"/>
      <c r="IR512" s="95"/>
      <c r="IS512" s="95"/>
      <c r="IT512" s="95"/>
      <c r="IU512" s="95"/>
    </row>
    <row r="513" spans="2:255" s="77" customFormat="1" ht="12" customHeight="1" hidden="1">
      <c r="B513" s="38"/>
      <c r="C513" s="65"/>
      <c r="D513" s="33"/>
      <c r="E513" s="33"/>
      <c r="F513" s="34"/>
      <c r="G513" s="29">
        <f>E513+F513</f>
        <v>0</v>
      </c>
      <c r="H513" s="33"/>
      <c r="I513" s="34"/>
      <c r="J513" s="29">
        <f>H513+I513</f>
        <v>0</v>
      </c>
      <c r="K513" s="45"/>
      <c r="L513" s="53"/>
      <c r="M513" s="29">
        <f>K513+L513</f>
        <v>0</v>
      </c>
      <c r="N513" s="130"/>
      <c r="O513" s="131"/>
      <c r="P513" s="29">
        <f>N513+O513</f>
        <v>0</v>
      </c>
      <c r="Q513" s="29">
        <f>G513+J513+M513+P513</f>
        <v>0</v>
      </c>
      <c r="R513" s="210"/>
      <c r="S513" s="210"/>
      <c r="Z513" s="209"/>
      <c r="AA513" s="209"/>
      <c r="IQ513" s="80"/>
      <c r="IR513" s="80"/>
      <c r="IS513" s="80"/>
      <c r="IT513" s="80"/>
      <c r="IU513" s="80"/>
    </row>
    <row r="514" spans="1:255" s="77" customFormat="1" ht="28.5" customHeight="1">
      <c r="A514" s="93">
        <v>51</v>
      </c>
      <c r="B514" s="78" t="s">
        <v>124</v>
      </c>
      <c r="C514" s="28" t="s">
        <v>126</v>
      </c>
      <c r="D514" s="41">
        <f>G514+J514+M514+P514</f>
        <v>500</v>
      </c>
      <c r="E514" s="101">
        <f>E515+E520+E523</f>
        <v>0</v>
      </c>
      <c r="F514" s="102"/>
      <c r="G514" s="29">
        <f>G515+G516+G517</f>
        <v>500</v>
      </c>
      <c r="H514" s="101">
        <f>H515+H520+H523</f>
        <v>0</v>
      </c>
      <c r="I514" s="102"/>
      <c r="J514" s="29">
        <f aca="true" t="shared" si="143" ref="J514:P514">J515+J516+J517</f>
        <v>0</v>
      </c>
      <c r="K514" s="29">
        <f t="shared" si="143"/>
        <v>0</v>
      </c>
      <c r="L514" s="29">
        <f t="shared" si="143"/>
        <v>0</v>
      </c>
      <c r="M514" s="29">
        <f t="shared" si="143"/>
        <v>0</v>
      </c>
      <c r="N514" s="29">
        <f t="shared" si="143"/>
        <v>0</v>
      </c>
      <c r="O514" s="29">
        <f t="shared" si="143"/>
        <v>0</v>
      </c>
      <c r="P514" s="29">
        <f t="shared" si="143"/>
        <v>0</v>
      </c>
      <c r="Q514" s="29"/>
      <c r="R514" s="209"/>
      <c r="S514" s="209"/>
      <c r="Z514" s="233">
        <v>0</v>
      </c>
      <c r="AA514" s="226">
        <f>D514+Z514</f>
        <v>500</v>
      </c>
      <c r="IQ514" s="80"/>
      <c r="IR514" s="80"/>
      <c r="IS514" s="80"/>
      <c r="IT514" s="80"/>
      <c r="IU514" s="80"/>
    </row>
    <row r="515" spans="1:255" s="77" customFormat="1" ht="18.75" customHeight="1">
      <c r="A515" s="93"/>
      <c r="B515" s="43" t="s">
        <v>35</v>
      </c>
      <c r="C515" s="44"/>
      <c r="D515" s="45">
        <f>G515+J515+M515+P515</f>
        <v>75</v>
      </c>
      <c r="E515" s="82">
        <v>0</v>
      </c>
      <c r="F515" s="83"/>
      <c r="G515" s="33">
        <v>75</v>
      </c>
      <c r="H515" s="45">
        <v>0</v>
      </c>
      <c r="I515" s="53"/>
      <c r="J515" s="33">
        <f>H515+I515</f>
        <v>0</v>
      </c>
      <c r="K515" s="45"/>
      <c r="L515" s="53"/>
      <c r="M515" s="33">
        <v>0</v>
      </c>
      <c r="N515" s="45">
        <v>0</v>
      </c>
      <c r="O515" s="53"/>
      <c r="P515" s="33">
        <f>N515+O515</f>
        <v>0</v>
      </c>
      <c r="Q515" s="29"/>
      <c r="R515" s="209"/>
      <c r="S515" s="209"/>
      <c r="Z515" s="209">
        <v>0</v>
      </c>
      <c r="AA515" s="130">
        <f>D515+Z515</f>
        <v>75</v>
      </c>
      <c r="IQ515" s="80"/>
      <c r="IR515" s="80"/>
      <c r="IS515" s="80"/>
      <c r="IT515" s="80"/>
      <c r="IU515" s="80"/>
    </row>
    <row r="516" spans="1:255" s="77" customFormat="1" ht="18.75" customHeight="1">
      <c r="A516" s="93"/>
      <c r="B516" s="43" t="s">
        <v>36</v>
      </c>
      <c r="C516" s="44"/>
      <c r="D516" s="45">
        <f>G516+J516+M516+P516</f>
        <v>425</v>
      </c>
      <c r="E516" s="82"/>
      <c r="F516" s="83"/>
      <c r="G516" s="33">
        <v>425</v>
      </c>
      <c r="H516" s="45"/>
      <c r="I516" s="53"/>
      <c r="J516" s="33"/>
      <c r="K516" s="45"/>
      <c r="L516" s="53"/>
      <c r="M516" s="33">
        <v>0</v>
      </c>
      <c r="N516" s="45"/>
      <c r="O516" s="53"/>
      <c r="P516" s="33"/>
      <c r="Q516" s="29"/>
      <c r="R516" s="209"/>
      <c r="S516" s="209"/>
      <c r="Z516" s="209">
        <v>0</v>
      </c>
      <c r="AA516" s="130">
        <f>D516+Z516</f>
        <v>425</v>
      </c>
      <c r="IQ516" s="80"/>
      <c r="IR516" s="80"/>
      <c r="IS516" s="80"/>
      <c r="IT516" s="80"/>
      <c r="IU516" s="80"/>
    </row>
    <row r="517" spans="1:255" s="77" customFormat="1" ht="18.75" customHeight="1">
      <c r="A517" s="93"/>
      <c r="B517" s="43" t="s">
        <v>37</v>
      </c>
      <c r="C517" s="44"/>
      <c r="D517" s="45">
        <f>G517+J517+M517+P517</f>
        <v>0</v>
      </c>
      <c r="E517" s="82">
        <v>0</v>
      </c>
      <c r="F517" s="83"/>
      <c r="G517" s="33">
        <f>E517+F517</f>
        <v>0</v>
      </c>
      <c r="H517" s="45">
        <v>0</v>
      </c>
      <c r="I517" s="53"/>
      <c r="J517" s="33">
        <f>H517+I517</f>
        <v>0</v>
      </c>
      <c r="K517" s="45"/>
      <c r="L517" s="53"/>
      <c r="M517" s="33">
        <v>0</v>
      </c>
      <c r="N517" s="82">
        <v>0</v>
      </c>
      <c r="O517" s="83"/>
      <c r="P517" s="29">
        <f>N517+O517</f>
        <v>0</v>
      </c>
      <c r="Q517" s="29"/>
      <c r="R517" s="209"/>
      <c r="S517" s="209"/>
      <c r="Z517" s="209">
        <v>0</v>
      </c>
      <c r="AA517" s="130">
        <f>D517+Z517</f>
        <v>0</v>
      </c>
      <c r="IQ517" s="80"/>
      <c r="IR517" s="80"/>
      <c r="IS517" s="80"/>
      <c r="IT517" s="80"/>
      <c r="IU517" s="80"/>
    </row>
    <row r="518" spans="1:255" s="77" customFormat="1" ht="18.75" customHeight="1" hidden="1">
      <c r="A518" s="93"/>
      <c r="B518" s="43"/>
      <c r="C518" s="44"/>
      <c r="D518" s="45"/>
      <c r="E518" s="82"/>
      <c r="F518" s="83"/>
      <c r="G518" s="29"/>
      <c r="H518" s="82"/>
      <c r="I518" s="83"/>
      <c r="J518" s="29"/>
      <c r="K518" s="82"/>
      <c r="L518" s="83"/>
      <c r="M518" s="29"/>
      <c r="N518" s="82"/>
      <c r="O518" s="83"/>
      <c r="P518" s="29"/>
      <c r="Q518" s="29"/>
      <c r="R518" s="209"/>
      <c r="S518" s="209"/>
      <c r="Z518" s="209"/>
      <c r="AA518" s="209"/>
      <c r="IQ518" s="80"/>
      <c r="IR518" s="80"/>
      <c r="IS518" s="80"/>
      <c r="IT518" s="80"/>
      <c r="IU518" s="80"/>
    </row>
    <row r="519" spans="1:255" s="77" customFormat="1" ht="18.75" customHeight="1" hidden="1">
      <c r="A519" s="93"/>
      <c r="B519" s="43"/>
      <c r="C519" s="44" t="s">
        <v>51</v>
      </c>
      <c r="D519" s="41">
        <f>D523</f>
        <v>500</v>
      </c>
      <c r="E519" s="101"/>
      <c r="F519" s="102"/>
      <c r="G519" s="29">
        <f>G523</f>
        <v>500</v>
      </c>
      <c r="H519" s="29">
        <f>SUM(H520:H523)</f>
        <v>0</v>
      </c>
      <c r="I519" s="29">
        <f>SUM(I520:I523)</f>
        <v>0</v>
      </c>
      <c r="J519" s="29">
        <f>SUM(J520:J523)</f>
        <v>0</v>
      </c>
      <c r="K519" s="29"/>
      <c r="L519" s="29"/>
      <c r="M519" s="29">
        <f>SUM(M520:M523)</f>
        <v>0</v>
      </c>
      <c r="N519" s="29">
        <f>SUM(N520:N523)</f>
        <v>0</v>
      </c>
      <c r="O519" s="29">
        <f>SUM(O520:O523)</f>
        <v>0</v>
      </c>
      <c r="P519" s="29">
        <f>SUM(P520:P523)</f>
        <v>0</v>
      </c>
      <c r="Q519" s="29"/>
      <c r="R519" s="209"/>
      <c r="S519" s="209"/>
      <c r="Z519" s="209"/>
      <c r="AA519" s="209"/>
      <c r="IQ519" s="80"/>
      <c r="IR519" s="80"/>
      <c r="IS519" s="80"/>
      <c r="IT519" s="80"/>
      <c r="IU519" s="80"/>
    </row>
    <row r="520" spans="2:255" s="77" customFormat="1" ht="18.75" customHeight="1" hidden="1">
      <c r="B520" s="38" t="s">
        <v>38</v>
      </c>
      <c r="C520" s="65"/>
      <c r="D520" s="45">
        <f aca="true" t="shared" si="144" ref="D520:D527">G520+J520+M520+P520</f>
        <v>0</v>
      </c>
      <c r="E520" s="45"/>
      <c r="F520" s="53"/>
      <c r="G520" s="33">
        <v>0</v>
      </c>
      <c r="H520" s="45"/>
      <c r="I520" s="53"/>
      <c r="J520" s="33"/>
      <c r="K520" s="45"/>
      <c r="L520" s="53"/>
      <c r="M520" s="33">
        <v>0</v>
      </c>
      <c r="N520" s="45"/>
      <c r="O520" s="53"/>
      <c r="P520" s="33">
        <v>0</v>
      </c>
      <c r="Q520" s="29"/>
      <c r="R520" s="209"/>
      <c r="S520" s="209"/>
      <c r="Z520" s="209"/>
      <c r="AA520" s="209"/>
      <c r="IQ520" s="80"/>
      <c r="IR520" s="80"/>
      <c r="IS520" s="80"/>
      <c r="IT520" s="80"/>
      <c r="IU520" s="80"/>
    </row>
    <row r="521" spans="2:255" s="77" customFormat="1" ht="18.75" customHeight="1" hidden="1">
      <c r="B521" s="38" t="s">
        <v>39</v>
      </c>
      <c r="C521" s="65"/>
      <c r="D521" s="45">
        <f t="shared" si="144"/>
        <v>0</v>
      </c>
      <c r="E521" s="45"/>
      <c r="F521" s="53"/>
      <c r="G521" s="33">
        <v>0</v>
      </c>
      <c r="H521" s="45"/>
      <c r="I521" s="53"/>
      <c r="J521" s="33"/>
      <c r="K521" s="45"/>
      <c r="L521" s="53"/>
      <c r="M521" s="33">
        <v>0</v>
      </c>
      <c r="N521" s="45"/>
      <c r="O521" s="53"/>
      <c r="P521" s="33">
        <f>M516</f>
        <v>0</v>
      </c>
      <c r="Q521" s="29"/>
      <c r="R521" s="209"/>
      <c r="S521" s="209"/>
      <c r="Z521" s="209"/>
      <c r="AA521" s="209"/>
      <c r="IQ521" s="80"/>
      <c r="IR521" s="80"/>
      <c r="IS521" s="80"/>
      <c r="IT521" s="80"/>
      <c r="IU521" s="80"/>
    </row>
    <row r="522" spans="2:255" s="77" customFormat="1" ht="18.75" customHeight="1" hidden="1">
      <c r="B522" s="38" t="s">
        <v>40</v>
      </c>
      <c r="C522" s="65"/>
      <c r="D522" s="45">
        <f t="shared" si="144"/>
        <v>0</v>
      </c>
      <c r="E522" s="45"/>
      <c r="F522" s="53"/>
      <c r="G522" s="33">
        <v>0</v>
      </c>
      <c r="H522" s="45"/>
      <c r="I522" s="53"/>
      <c r="J522" s="33"/>
      <c r="K522" s="45"/>
      <c r="L522" s="53"/>
      <c r="M522" s="33"/>
      <c r="N522" s="45"/>
      <c r="O522" s="53"/>
      <c r="P522" s="33"/>
      <c r="Q522" s="29"/>
      <c r="R522" s="209"/>
      <c r="S522" s="209"/>
      <c r="Z522" s="209"/>
      <c r="AA522" s="209"/>
      <c r="IQ522" s="80"/>
      <c r="IR522" s="80"/>
      <c r="IS522" s="80"/>
      <c r="IT522" s="80"/>
      <c r="IU522" s="80"/>
    </row>
    <row r="523" spans="2:255" s="77" customFormat="1" ht="26.25" customHeight="1" hidden="1">
      <c r="B523" s="49" t="s">
        <v>41</v>
      </c>
      <c r="C523" s="65"/>
      <c r="D523" s="45">
        <f t="shared" si="144"/>
        <v>500</v>
      </c>
      <c r="E523" s="45"/>
      <c r="F523" s="53"/>
      <c r="G523" s="33">
        <v>500</v>
      </c>
      <c r="H523" s="45"/>
      <c r="I523" s="53"/>
      <c r="J523" s="33"/>
      <c r="K523" s="45"/>
      <c r="L523" s="53">
        <v>30</v>
      </c>
      <c r="M523" s="33">
        <v>0</v>
      </c>
      <c r="N523" s="45"/>
      <c r="O523" s="53"/>
      <c r="P523" s="33">
        <v>0</v>
      </c>
      <c r="Q523" s="29"/>
      <c r="R523" s="209"/>
      <c r="S523" s="209"/>
      <c r="Z523" s="209"/>
      <c r="AA523" s="209"/>
      <c r="IQ523" s="80"/>
      <c r="IR523" s="80"/>
      <c r="IS523" s="80"/>
      <c r="IT523" s="80"/>
      <c r="IU523" s="80"/>
    </row>
    <row r="524" spans="1:255" s="77" customFormat="1" ht="29.25" customHeight="1">
      <c r="A524" s="93">
        <v>52</v>
      </c>
      <c r="B524" s="78" t="s">
        <v>124</v>
      </c>
      <c r="C524" s="28" t="s">
        <v>127</v>
      </c>
      <c r="D524" s="41">
        <f t="shared" si="144"/>
        <v>500</v>
      </c>
      <c r="E524" s="101">
        <f>E525+E530+E533</f>
        <v>0</v>
      </c>
      <c r="F524" s="102"/>
      <c r="G524" s="29">
        <f>G525+G526+G527</f>
        <v>500</v>
      </c>
      <c r="H524" s="101">
        <f>H525+H530+H533</f>
        <v>0</v>
      </c>
      <c r="I524" s="102"/>
      <c r="J524" s="29">
        <f aca="true" t="shared" si="145" ref="J524:P524">J525+J526+J527</f>
        <v>0</v>
      </c>
      <c r="K524" s="29">
        <f t="shared" si="145"/>
        <v>0</v>
      </c>
      <c r="L524" s="29">
        <f t="shared" si="145"/>
        <v>0</v>
      </c>
      <c r="M524" s="29">
        <f t="shared" si="145"/>
        <v>0</v>
      </c>
      <c r="N524" s="29">
        <f t="shared" si="145"/>
        <v>0</v>
      </c>
      <c r="O524" s="29">
        <f t="shared" si="145"/>
        <v>0</v>
      </c>
      <c r="P524" s="29">
        <f t="shared" si="145"/>
        <v>0</v>
      </c>
      <c r="Q524" s="29"/>
      <c r="R524" s="209"/>
      <c r="S524" s="209"/>
      <c r="Z524" s="233">
        <v>0</v>
      </c>
      <c r="AA524" s="226">
        <f>D524+Z524</f>
        <v>500</v>
      </c>
      <c r="IQ524" s="80"/>
      <c r="IR524" s="80"/>
      <c r="IS524" s="80"/>
      <c r="IT524" s="80"/>
      <c r="IU524" s="80"/>
    </row>
    <row r="525" spans="1:255" s="77" customFormat="1" ht="18.75" customHeight="1">
      <c r="A525" s="93"/>
      <c r="B525" s="43" t="s">
        <v>35</v>
      </c>
      <c r="C525" s="44"/>
      <c r="D525" s="45">
        <f t="shared" si="144"/>
        <v>75</v>
      </c>
      <c r="E525" s="82">
        <v>0</v>
      </c>
      <c r="F525" s="83"/>
      <c r="G525" s="33">
        <v>75</v>
      </c>
      <c r="H525" s="45">
        <v>0</v>
      </c>
      <c r="I525" s="53"/>
      <c r="J525" s="33">
        <f>H525+I525</f>
        <v>0</v>
      </c>
      <c r="K525" s="45"/>
      <c r="L525" s="53"/>
      <c r="M525" s="33">
        <v>0</v>
      </c>
      <c r="N525" s="45">
        <v>0</v>
      </c>
      <c r="O525" s="53"/>
      <c r="P525" s="33">
        <f>N525+O525</f>
        <v>0</v>
      </c>
      <c r="Q525" s="29"/>
      <c r="R525" s="209"/>
      <c r="S525" s="209"/>
      <c r="Z525" s="209">
        <v>0</v>
      </c>
      <c r="AA525" s="130">
        <f>D525+Z525</f>
        <v>75</v>
      </c>
      <c r="IQ525" s="80"/>
      <c r="IR525" s="80"/>
      <c r="IS525" s="80"/>
      <c r="IT525" s="80"/>
      <c r="IU525" s="80"/>
    </row>
    <row r="526" spans="1:255" s="77" customFormat="1" ht="18.75" customHeight="1">
      <c r="A526" s="93"/>
      <c r="B526" s="43" t="s">
        <v>36</v>
      </c>
      <c r="C526" s="44"/>
      <c r="D526" s="45">
        <f t="shared" si="144"/>
        <v>425</v>
      </c>
      <c r="E526" s="82"/>
      <c r="F526" s="83"/>
      <c r="G526" s="33">
        <v>425</v>
      </c>
      <c r="H526" s="45"/>
      <c r="I526" s="53"/>
      <c r="J526" s="33"/>
      <c r="K526" s="45"/>
      <c r="L526" s="53"/>
      <c r="M526" s="33">
        <v>0</v>
      </c>
      <c r="N526" s="45"/>
      <c r="O526" s="53"/>
      <c r="P526" s="33"/>
      <c r="Q526" s="29"/>
      <c r="R526" s="209"/>
      <c r="S526" s="209"/>
      <c r="Z526" s="209">
        <v>0</v>
      </c>
      <c r="AA526" s="130">
        <f>D526+Z526</f>
        <v>425</v>
      </c>
      <c r="IQ526" s="80"/>
      <c r="IR526" s="80"/>
      <c r="IS526" s="80"/>
      <c r="IT526" s="80"/>
      <c r="IU526" s="80"/>
    </row>
    <row r="527" spans="1:255" s="77" customFormat="1" ht="18.75" customHeight="1">
      <c r="A527" s="93"/>
      <c r="B527" s="43" t="s">
        <v>37</v>
      </c>
      <c r="C527" s="44"/>
      <c r="D527" s="45">
        <f t="shared" si="144"/>
        <v>0</v>
      </c>
      <c r="E527" s="82">
        <v>0</v>
      </c>
      <c r="F527" s="83"/>
      <c r="G527" s="33">
        <f>E527+F527</f>
        <v>0</v>
      </c>
      <c r="H527" s="45">
        <v>0</v>
      </c>
      <c r="I527" s="53"/>
      <c r="J527" s="33">
        <f>H527+I527</f>
        <v>0</v>
      </c>
      <c r="K527" s="45"/>
      <c r="L527" s="53"/>
      <c r="M527" s="33">
        <v>0</v>
      </c>
      <c r="N527" s="82">
        <v>0</v>
      </c>
      <c r="O527" s="83"/>
      <c r="P527" s="29">
        <f>N527+O527</f>
        <v>0</v>
      </c>
      <c r="Q527" s="29"/>
      <c r="R527" s="209"/>
      <c r="S527" s="209"/>
      <c r="Z527" s="209">
        <v>0</v>
      </c>
      <c r="AA527" s="130">
        <f>D527+Z527</f>
        <v>0</v>
      </c>
      <c r="IQ527" s="80"/>
      <c r="IR527" s="80"/>
      <c r="IS527" s="80"/>
      <c r="IT527" s="80"/>
      <c r="IU527" s="80"/>
    </row>
    <row r="528" spans="1:255" s="77" customFormat="1" ht="18.75" customHeight="1" hidden="1">
      <c r="A528" s="93"/>
      <c r="B528" s="43"/>
      <c r="C528" s="44"/>
      <c r="D528" s="45"/>
      <c r="E528" s="82"/>
      <c r="F528" s="83"/>
      <c r="G528" s="29"/>
      <c r="H528" s="82"/>
      <c r="I528" s="83"/>
      <c r="J528" s="29"/>
      <c r="K528" s="82"/>
      <c r="L528" s="83"/>
      <c r="M528" s="29"/>
      <c r="N528" s="82"/>
      <c r="O528" s="83"/>
      <c r="P528" s="29"/>
      <c r="Q528" s="29"/>
      <c r="R528" s="209"/>
      <c r="S528" s="209"/>
      <c r="Z528" s="209"/>
      <c r="AA528" s="209"/>
      <c r="IQ528" s="80"/>
      <c r="IR528" s="80"/>
      <c r="IS528" s="80"/>
      <c r="IT528" s="80"/>
      <c r="IU528" s="80"/>
    </row>
    <row r="529" spans="1:255" s="77" customFormat="1" ht="18.75" customHeight="1" hidden="1">
      <c r="A529" s="93"/>
      <c r="B529" s="43"/>
      <c r="C529" s="44" t="s">
        <v>51</v>
      </c>
      <c r="D529" s="41">
        <f>D533</f>
        <v>500</v>
      </c>
      <c r="E529" s="101"/>
      <c r="F529" s="102"/>
      <c r="G529" s="29">
        <f>G533</f>
        <v>500</v>
      </c>
      <c r="H529" s="29">
        <f>SUM(H530:H533)</f>
        <v>0</v>
      </c>
      <c r="I529" s="29">
        <f>SUM(I530:I533)</f>
        <v>0</v>
      </c>
      <c r="J529" s="29">
        <f>SUM(J530:J533)</f>
        <v>0</v>
      </c>
      <c r="K529" s="29"/>
      <c r="L529" s="29"/>
      <c r="M529" s="29">
        <f>SUM(M530:M533)</f>
        <v>0</v>
      </c>
      <c r="N529" s="29">
        <f>SUM(N530:N533)</f>
        <v>0</v>
      </c>
      <c r="O529" s="29">
        <f>SUM(O530:O533)</f>
        <v>0</v>
      </c>
      <c r="P529" s="29">
        <f>SUM(P530:P533)</f>
        <v>0</v>
      </c>
      <c r="Q529" s="29"/>
      <c r="R529" s="209"/>
      <c r="S529" s="209"/>
      <c r="Z529" s="209"/>
      <c r="AA529" s="209"/>
      <c r="IQ529" s="80"/>
      <c r="IR529" s="80"/>
      <c r="IS529" s="80"/>
      <c r="IT529" s="80"/>
      <c r="IU529" s="80"/>
    </row>
    <row r="530" spans="2:255" s="77" customFormat="1" ht="18.75" customHeight="1" hidden="1">
      <c r="B530" s="38" t="s">
        <v>38</v>
      </c>
      <c r="C530" s="65"/>
      <c r="D530" s="45">
        <f>G530+J530+M530+P530</f>
        <v>0</v>
      </c>
      <c r="E530" s="45"/>
      <c r="F530" s="53"/>
      <c r="G530" s="33">
        <v>0</v>
      </c>
      <c r="H530" s="45"/>
      <c r="I530" s="53"/>
      <c r="J530" s="33"/>
      <c r="K530" s="45"/>
      <c r="L530" s="53"/>
      <c r="M530" s="33">
        <v>0</v>
      </c>
      <c r="N530" s="45"/>
      <c r="O530" s="53"/>
      <c r="P530" s="33">
        <v>0</v>
      </c>
      <c r="Q530" s="29"/>
      <c r="R530" s="209"/>
      <c r="S530" s="209"/>
      <c r="Z530" s="209"/>
      <c r="AA530" s="209"/>
      <c r="IQ530" s="80"/>
      <c r="IR530" s="80"/>
      <c r="IS530" s="80"/>
      <c r="IT530" s="80"/>
      <c r="IU530" s="80"/>
    </row>
    <row r="531" spans="2:255" s="77" customFormat="1" ht="18.75" customHeight="1" hidden="1">
      <c r="B531" s="38" t="s">
        <v>39</v>
      </c>
      <c r="C531" s="65"/>
      <c r="D531" s="45">
        <f>G531+J531+M531+P531</f>
        <v>0</v>
      </c>
      <c r="E531" s="45"/>
      <c r="F531" s="53"/>
      <c r="G531" s="33">
        <v>0</v>
      </c>
      <c r="H531" s="45"/>
      <c r="I531" s="53"/>
      <c r="J531" s="33"/>
      <c r="K531" s="45"/>
      <c r="L531" s="53"/>
      <c r="M531" s="33">
        <v>0</v>
      </c>
      <c r="N531" s="45"/>
      <c r="O531" s="53"/>
      <c r="P531" s="33">
        <f>M526</f>
        <v>0</v>
      </c>
      <c r="Q531" s="29"/>
      <c r="R531" s="209"/>
      <c r="S531" s="209"/>
      <c r="Z531" s="209"/>
      <c r="AA531" s="209"/>
      <c r="IQ531" s="80"/>
      <c r="IR531" s="80"/>
      <c r="IS531" s="80"/>
      <c r="IT531" s="80"/>
      <c r="IU531" s="80"/>
    </row>
    <row r="532" spans="2:255" s="77" customFormat="1" ht="18.75" customHeight="1" hidden="1">
      <c r="B532" s="38" t="s">
        <v>40</v>
      </c>
      <c r="C532" s="65"/>
      <c r="D532" s="45">
        <f>G532+J532+M532+P532</f>
        <v>0</v>
      </c>
      <c r="E532" s="45"/>
      <c r="F532" s="53"/>
      <c r="G532" s="33">
        <v>0</v>
      </c>
      <c r="H532" s="45"/>
      <c r="I532" s="53"/>
      <c r="J532" s="33"/>
      <c r="K532" s="45"/>
      <c r="L532" s="53"/>
      <c r="M532" s="33"/>
      <c r="N532" s="45"/>
      <c r="O532" s="53"/>
      <c r="P532" s="33"/>
      <c r="Q532" s="29"/>
      <c r="R532" s="209"/>
      <c r="S532" s="209"/>
      <c r="Z532" s="209"/>
      <c r="AA532" s="209"/>
      <c r="IQ532" s="80"/>
      <c r="IR532" s="80"/>
      <c r="IS532" s="80"/>
      <c r="IT532" s="80"/>
      <c r="IU532" s="80"/>
    </row>
    <row r="533" spans="2:255" s="77" customFormat="1" ht="18.75" customHeight="1" hidden="1">
      <c r="B533" s="49" t="s">
        <v>41</v>
      </c>
      <c r="C533" s="65"/>
      <c r="D533" s="45">
        <f>G533+J533+M533+P533</f>
        <v>500</v>
      </c>
      <c r="E533" s="45"/>
      <c r="F533" s="53"/>
      <c r="G533" s="33">
        <v>500</v>
      </c>
      <c r="H533" s="45"/>
      <c r="I533" s="53"/>
      <c r="J533" s="33"/>
      <c r="K533" s="45"/>
      <c r="L533" s="53">
        <v>30</v>
      </c>
      <c r="M533" s="33">
        <v>0</v>
      </c>
      <c r="N533" s="45"/>
      <c r="O533" s="53"/>
      <c r="P533" s="33">
        <v>0</v>
      </c>
      <c r="Q533" s="29"/>
      <c r="R533" s="209"/>
      <c r="S533" s="209"/>
      <c r="Z533" s="209"/>
      <c r="AA533" s="209"/>
      <c r="IQ533" s="80"/>
      <c r="IR533" s="80"/>
      <c r="IS533" s="80"/>
      <c r="IT533" s="80"/>
      <c r="IU533" s="80"/>
    </row>
    <row r="534" spans="1:255" s="77" customFormat="1" ht="28.5" customHeight="1">
      <c r="A534" s="77">
        <v>53</v>
      </c>
      <c r="B534" s="78" t="s">
        <v>124</v>
      </c>
      <c r="C534" s="28" t="s">
        <v>128</v>
      </c>
      <c r="D534" s="29">
        <f>D535+D545</f>
        <v>7045</v>
      </c>
      <c r="E534" s="29">
        <f>E535+E545</f>
        <v>2643</v>
      </c>
      <c r="F534" s="30"/>
      <c r="G534" s="29">
        <f>G535</f>
        <v>453</v>
      </c>
      <c r="H534" s="29">
        <f>H535+H545</f>
        <v>0</v>
      </c>
      <c r="I534" s="30"/>
      <c r="J534" s="29">
        <f aca="true" t="shared" si="146" ref="J534:J553">H534+I534</f>
        <v>0</v>
      </c>
      <c r="K534" s="29">
        <f>K535+K545</f>
        <v>6592</v>
      </c>
      <c r="L534" s="30"/>
      <c r="M534" s="29">
        <f aca="true" t="shared" si="147" ref="M534:M553">K534+L534</f>
        <v>6592</v>
      </c>
      <c r="N534" s="29">
        <f>N535+N545</f>
        <v>0</v>
      </c>
      <c r="O534" s="30"/>
      <c r="P534" s="29">
        <f aca="true" t="shared" si="148" ref="P534:P553">N534+O534</f>
        <v>0</v>
      </c>
      <c r="Q534" s="29">
        <f aca="true" t="shared" si="149" ref="Q534:Q565">G534+J534+M534+P534</f>
        <v>7045</v>
      </c>
      <c r="R534" s="210"/>
      <c r="S534" s="210"/>
      <c r="Z534" s="233">
        <v>0</v>
      </c>
      <c r="AA534" s="226">
        <f>D534+Z534</f>
        <v>7045</v>
      </c>
      <c r="IQ534" s="80"/>
      <c r="IR534" s="80"/>
      <c r="IS534" s="80"/>
      <c r="IT534" s="80"/>
      <c r="IU534" s="80"/>
    </row>
    <row r="535" spans="2:255" s="77" customFormat="1" ht="15.75" customHeight="1" hidden="1">
      <c r="B535" s="78"/>
      <c r="C535" s="28"/>
      <c r="D535" s="29">
        <f>D536+D537+D538</f>
        <v>453</v>
      </c>
      <c r="E535" s="29">
        <f>E536+E537+E538</f>
        <v>2643</v>
      </c>
      <c r="F535" s="30"/>
      <c r="G535" s="29">
        <f>G536+G537+G538</f>
        <v>453</v>
      </c>
      <c r="H535" s="29">
        <f>H536+H537+H538</f>
        <v>0</v>
      </c>
      <c r="I535" s="30"/>
      <c r="J535" s="29">
        <f t="shared" si="146"/>
        <v>0</v>
      </c>
      <c r="K535" s="29">
        <f>K536+K537+K538</f>
        <v>0</v>
      </c>
      <c r="L535" s="30"/>
      <c r="M535" s="29">
        <f t="shared" si="147"/>
        <v>0</v>
      </c>
      <c r="N535" s="29">
        <f>N536+N537+N538</f>
        <v>0</v>
      </c>
      <c r="O535" s="30"/>
      <c r="P535" s="29">
        <f t="shared" si="148"/>
        <v>0</v>
      </c>
      <c r="Q535" s="29">
        <f t="shared" si="149"/>
        <v>453</v>
      </c>
      <c r="R535" s="210"/>
      <c r="S535" s="210"/>
      <c r="Z535" s="209"/>
      <c r="AA535" s="209"/>
      <c r="IQ535" s="80"/>
      <c r="IR535" s="80"/>
      <c r="IS535" s="80"/>
      <c r="IT535" s="80"/>
      <c r="IU535" s="80"/>
    </row>
    <row r="536" spans="2:255" s="77" customFormat="1" ht="15.75" customHeight="1">
      <c r="B536" s="43" t="s">
        <v>65</v>
      </c>
      <c r="C536" s="32" t="s">
        <v>23</v>
      </c>
      <c r="D536" s="33">
        <f>G536+J536+M536+P536</f>
        <v>380</v>
      </c>
      <c r="E536" s="33">
        <v>2221</v>
      </c>
      <c r="F536" s="34"/>
      <c r="G536" s="29">
        <v>380</v>
      </c>
      <c r="H536" s="33">
        <v>0</v>
      </c>
      <c r="I536" s="34"/>
      <c r="J536" s="29">
        <f t="shared" si="146"/>
        <v>0</v>
      </c>
      <c r="K536" s="45">
        <v>0</v>
      </c>
      <c r="L536" s="53"/>
      <c r="M536" s="29">
        <f t="shared" si="147"/>
        <v>0</v>
      </c>
      <c r="N536" s="130">
        <v>0</v>
      </c>
      <c r="O536" s="131"/>
      <c r="P536" s="29">
        <f t="shared" si="148"/>
        <v>0</v>
      </c>
      <c r="Q536" s="29">
        <f t="shared" si="149"/>
        <v>380</v>
      </c>
      <c r="R536" s="210"/>
      <c r="S536" s="210"/>
      <c r="Z536" s="209">
        <v>0</v>
      </c>
      <c r="AA536" s="130">
        <f>D536+Z536</f>
        <v>380</v>
      </c>
      <c r="IQ536" s="80"/>
      <c r="IR536" s="80"/>
      <c r="IS536" s="80"/>
      <c r="IT536" s="80"/>
      <c r="IU536" s="80"/>
    </row>
    <row r="537" spans="2:255" s="77" customFormat="1" ht="16.5" customHeight="1">
      <c r="B537" s="43" t="s">
        <v>66</v>
      </c>
      <c r="C537" s="32" t="s">
        <v>25</v>
      </c>
      <c r="D537" s="33">
        <f>E537+H537+K537+N537</f>
        <v>0</v>
      </c>
      <c r="E537" s="33">
        <v>0</v>
      </c>
      <c r="F537" s="34"/>
      <c r="G537" s="29">
        <f>E537+F537</f>
        <v>0</v>
      </c>
      <c r="H537" s="33">
        <v>0</v>
      </c>
      <c r="I537" s="34"/>
      <c r="J537" s="29">
        <f t="shared" si="146"/>
        <v>0</v>
      </c>
      <c r="K537" s="45">
        <v>0</v>
      </c>
      <c r="L537" s="53"/>
      <c r="M537" s="29">
        <f t="shared" si="147"/>
        <v>0</v>
      </c>
      <c r="N537" s="130">
        <v>0</v>
      </c>
      <c r="O537" s="131"/>
      <c r="P537" s="29">
        <f t="shared" si="148"/>
        <v>0</v>
      </c>
      <c r="Q537" s="29">
        <f t="shared" si="149"/>
        <v>0</v>
      </c>
      <c r="R537" s="210"/>
      <c r="S537" s="210"/>
      <c r="Z537" s="209">
        <v>0</v>
      </c>
      <c r="AA537" s="130">
        <f>D537+Z537</f>
        <v>0</v>
      </c>
      <c r="IQ537" s="80"/>
      <c r="IR537" s="80"/>
      <c r="IS537" s="80"/>
      <c r="IT537" s="80"/>
      <c r="IU537" s="80"/>
    </row>
    <row r="538" spans="2:255" s="77" customFormat="1" ht="14.25" customHeight="1">
      <c r="B538" s="38" t="s">
        <v>67</v>
      </c>
      <c r="C538" s="32" t="s">
        <v>27</v>
      </c>
      <c r="D538" s="33">
        <f>G538+J538+M538+P538</f>
        <v>73</v>
      </c>
      <c r="E538" s="33">
        <v>422</v>
      </c>
      <c r="F538" s="34"/>
      <c r="G538" s="29">
        <v>73</v>
      </c>
      <c r="H538" s="33">
        <v>0</v>
      </c>
      <c r="I538" s="34"/>
      <c r="J538" s="29">
        <f t="shared" si="146"/>
        <v>0</v>
      </c>
      <c r="K538" s="45">
        <v>0</v>
      </c>
      <c r="L538" s="53"/>
      <c r="M538" s="29">
        <f t="shared" si="147"/>
        <v>0</v>
      </c>
      <c r="N538" s="130">
        <v>0</v>
      </c>
      <c r="O538" s="131"/>
      <c r="P538" s="29">
        <f t="shared" si="148"/>
        <v>0</v>
      </c>
      <c r="Q538" s="29">
        <f t="shared" si="149"/>
        <v>73</v>
      </c>
      <c r="R538" s="210"/>
      <c r="S538" s="210"/>
      <c r="Z538" s="209">
        <v>0</v>
      </c>
      <c r="AA538" s="130">
        <f>D538+Z538</f>
        <v>73</v>
      </c>
      <c r="IQ538" s="80"/>
      <c r="IR538" s="80"/>
      <c r="IS538" s="80"/>
      <c r="IT538" s="80"/>
      <c r="IU538" s="80"/>
    </row>
    <row r="539" spans="2:255" s="77" customFormat="1" ht="16.5" customHeight="1" hidden="1">
      <c r="B539" s="38"/>
      <c r="C539" s="65"/>
      <c r="D539" s="33"/>
      <c r="E539" s="33"/>
      <c r="F539" s="34"/>
      <c r="G539" s="29">
        <f>E539+F539</f>
        <v>0</v>
      </c>
      <c r="H539" s="33"/>
      <c r="I539" s="34"/>
      <c r="J539" s="29">
        <f t="shared" si="146"/>
        <v>0</v>
      </c>
      <c r="K539" s="45"/>
      <c r="L539" s="53"/>
      <c r="M539" s="29">
        <f t="shared" si="147"/>
        <v>0</v>
      </c>
      <c r="N539" s="130"/>
      <c r="O539" s="131"/>
      <c r="P539" s="29">
        <f t="shared" si="148"/>
        <v>0</v>
      </c>
      <c r="Q539" s="29">
        <f t="shared" si="149"/>
        <v>0</v>
      </c>
      <c r="R539" s="210"/>
      <c r="S539" s="210"/>
      <c r="Z539" s="209"/>
      <c r="AA539" s="209"/>
      <c r="IQ539" s="80"/>
      <c r="IR539" s="80"/>
      <c r="IS539" s="80"/>
      <c r="IT539" s="80"/>
      <c r="IU539" s="80"/>
    </row>
    <row r="540" spans="2:255" s="77" customFormat="1" ht="15" customHeight="1" hidden="1">
      <c r="B540" s="39"/>
      <c r="C540" s="65" t="s">
        <v>59</v>
      </c>
      <c r="D540" s="29">
        <f>D541+D542+D543</f>
        <v>453</v>
      </c>
      <c r="E540" s="29">
        <f>E541+E542+E543</f>
        <v>2643</v>
      </c>
      <c r="F540" s="30"/>
      <c r="G540" s="29">
        <f>G541+G542+G543</f>
        <v>453</v>
      </c>
      <c r="H540" s="29">
        <f>H541+H542+H543</f>
        <v>0</v>
      </c>
      <c r="I540" s="30"/>
      <c r="J540" s="29">
        <f t="shared" si="146"/>
        <v>0</v>
      </c>
      <c r="K540" s="41">
        <f>K541+K542+K543</f>
        <v>0</v>
      </c>
      <c r="L540" s="42"/>
      <c r="M540" s="29">
        <f t="shared" si="147"/>
        <v>0</v>
      </c>
      <c r="N540" s="132">
        <f>N541+N542+N543</f>
        <v>0</v>
      </c>
      <c r="O540" s="133"/>
      <c r="P540" s="29">
        <f t="shared" si="148"/>
        <v>0</v>
      </c>
      <c r="Q540" s="29">
        <f t="shared" si="149"/>
        <v>453</v>
      </c>
      <c r="R540" s="210"/>
      <c r="S540" s="210"/>
      <c r="Z540" s="209"/>
      <c r="AA540" s="209"/>
      <c r="IQ540" s="80"/>
      <c r="IR540" s="80"/>
      <c r="IS540" s="80"/>
      <c r="IT540" s="80"/>
      <c r="IU540" s="80"/>
    </row>
    <row r="541" spans="2:255" s="77" customFormat="1" ht="19.5" customHeight="1" hidden="1">
      <c r="B541" s="38" t="s">
        <v>68</v>
      </c>
      <c r="C541" s="65"/>
      <c r="D541" s="33">
        <f>G541+J541+M541+P541</f>
        <v>380</v>
      </c>
      <c r="E541" s="33">
        <f>2221</f>
        <v>2221</v>
      </c>
      <c r="F541" s="34"/>
      <c r="G541" s="29">
        <v>380</v>
      </c>
      <c r="H541" s="33">
        <v>0</v>
      </c>
      <c r="I541" s="34"/>
      <c r="J541" s="29">
        <f t="shared" si="146"/>
        <v>0</v>
      </c>
      <c r="K541" s="45">
        <v>0</v>
      </c>
      <c r="L541" s="53"/>
      <c r="M541" s="29">
        <f t="shared" si="147"/>
        <v>0</v>
      </c>
      <c r="N541" s="130">
        <v>0</v>
      </c>
      <c r="O541" s="131"/>
      <c r="P541" s="29">
        <f t="shared" si="148"/>
        <v>0</v>
      </c>
      <c r="Q541" s="29">
        <f t="shared" si="149"/>
        <v>380</v>
      </c>
      <c r="R541" s="210"/>
      <c r="S541" s="210"/>
      <c r="Z541" s="209"/>
      <c r="AA541" s="209"/>
      <c r="IQ541" s="80"/>
      <c r="IR541" s="80"/>
      <c r="IS541" s="80"/>
      <c r="IT541" s="80"/>
      <c r="IU541" s="80"/>
    </row>
    <row r="542" spans="2:255" s="77" customFormat="1" ht="18" customHeight="1" hidden="1">
      <c r="B542" s="38" t="s">
        <v>69</v>
      </c>
      <c r="C542" s="65"/>
      <c r="D542" s="33">
        <f>E542+H542+K542+N542</f>
        <v>0</v>
      </c>
      <c r="E542" s="33">
        <v>0</v>
      </c>
      <c r="F542" s="34"/>
      <c r="G542" s="29">
        <f>E542+F542</f>
        <v>0</v>
      </c>
      <c r="H542" s="33">
        <v>0</v>
      </c>
      <c r="I542" s="34"/>
      <c r="J542" s="29">
        <f t="shared" si="146"/>
        <v>0</v>
      </c>
      <c r="K542" s="45">
        <v>0</v>
      </c>
      <c r="L542" s="53"/>
      <c r="M542" s="29">
        <f t="shared" si="147"/>
        <v>0</v>
      </c>
      <c r="N542" s="130">
        <v>0</v>
      </c>
      <c r="O542" s="131"/>
      <c r="P542" s="29">
        <f t="shared" si="148"/>
        <v>0</v>
      </c>
      <c r="Q542" s="29">
        <f t="shared" si="149"/>
        <v>0</v>
      </c>
      <c r="R542" s="210"/>
      <c r="S542" s="210"/>
      <c r="Z542" s="209"/>
      <c r="AA542" s="209"/>
      <c r="IQ542" s="80"/>
      <c r="IR542" s="80"/>
      <c r="IS542" s="80"/>
      <c r="IT542" s="80"/>
      <c r="IU542" s="80"/>
    </row>
    <row r="543" spans="2:255" s="77" customFormat="1" ht="18.75" customHeight="1" hidden="1">
      <c r="B543" s="38" t="s">
        <v>70</v>
      </c>
      <c r="C543" s="65"/>
      <c r="D543" s="33">
        <f>G543+J543+M543+P543</f>
        <v>73</v>
      </c>
      <c r="E543" s="33">
        <f>422</f>
        <v>422</v>
      </c>
      <c r="F543" s="34"/>
      <c r="G543" s="29">
        <v>73</v>
      </c>
      <c r="H543" s="33">
        <v>0</v>
      </c>
      <c r="I543" s="34"/>
      <c r="J543" s="29">
        <f t="shared" si="146"/>
        <v>0</v>
      </c>
      <c r="K543" s="45">
        <v>0</v>
      </c>
      <c r="L543" s="53"/>
      <c r="M543" s="29">
        <f t="shared" si="147"/>
        <v>0</v>
      </c>
      <c r="N543" s="130">
        <v>0</v>
      </c>
      <c r="O543" s="131"/>
      <c r="P543" s="29">
        <f t="shared" si="148"/>
        <v>0</v>
      </c>
      <c r="Q543" s="29">
        <f t="shared" si="149"/>
        <v>73</v>
      </c>
      <c r="R543" s="210"/>
      <c r="S543" s="210"/>
      <c r="Z543" s="209"/>
      <c r="AA543" s="209"/>
      <c r="IQ543" s="80"/>
      <c r="IR543" s="80"/>
      <c r="IS543" s="80"/>
      <c r="IT543" s="80"/>
      <c r="IU543" s="80"/>
    </row>
    <row r="544" spans="2:255" s="77" customFormat="1" ht="18.75" customHeight="1" hidden="1">
      <c r="B544" s="38"/>
      <c r="C544" s="65"/>
      <c r="D544" s="33"/>
      <c r="E544" s="33"/>
      <c r="F544" s="34"/>
      <c r="G544" s="29">
        <f aca="true" t="shared" si="150" ref="G544:G553">E544+F544</f>
        <v>0</v>
      </c>
      <c r="H544" s="33"/>
      <c r="I544" s="34"/>
      <c r="J544" s="29">
        <f t="shared" si="146"/>
        <v>0</v>
      </c>
      <c r="K544" s="45"/>
      <c r="L544" s="53"/>
      <c r="M544" s="29">
        <f t="shared" si="147"/>
        <v>0</v>
      </c>
      <c r="N544" s="130"/>
      <c r="O544" s="131"/>
      <c r="P544" s="29">
        <f t="shared" si="148"/>
        <v>0</v>
      </c>
      <c r="Q544" s="29">
        <f t="shared" si="149"/>
        <v>0</v>
      </c>
      <c r="R544" s="210"/>
      <c r="S544" s="210"/>
      <c r="Z544" s="209"/>
      <c r="AA544" s="209"/>
      <c r="IQ544" s="80"/>
      <c r="IR544" s="80"/>
      <c r="IS544" s="80"/>
      <c r="IT544" s="80"/>
      <c r="IU544" s="80"/>
    </row>
    <row r="545" spans="2:255" s="77" customFormat="1" ht="19.5" customHeight="1" hidden="1">
      <c r="B545" s="38"/>
      <c r="C545" s="65"/>
      <c r="D545" s="29">
        <f>D546+D547+D548</f>
        <v>6592</v>
      </c>
      <c r="E545" s="29">
        <f>E546+E547+E548</f>
        <v>0</v>
      </c>
      <c r="F545" s="30"/>
      <c r="G545" s="29">
        <f t="shared" si="150"/>
        <v>0</v>
      </c>
      <c r="H545" s="29">
        <f>H546+H547+H548</f>
        <v>0</v>
      </c>
      <c r="I545" s="30"/>
      <c r="J545" s="29">
        <f t="shared" si="146"/>
        <v>0</v>
      </c>
      <c r="K545" s="41">
        <f>K546+K547+K548</f>
        <v>6592</v>
      </c>
      <c r="L545" s="42"/>
      <c r="M545" s="29">
        <f t="shared" si="147"/>
        <v>6592</v>
      </c>
      <c r="N545" s="132">
        <f>N546+N547+N548</f>
        <v>0</v>
      </c>
      <c r="O545" s="133"/>
      <c r="P545" s="29">
        <f t="shared" si="148"/>
        <v>0</v>
      </c>
      <c r="Q545" s="29">
        <f t="shared" si="149"/>
        <v>6592</v>
      </c>
      <c r="R545" s="210"/>
      <c r="S545" s="210"/>
      <c r="Z545" s="209"/>
      <c r="AA545" s="209"/>
      <c r="IQ545" s="80"/>
      <c r="IR545" s="80"/>
      <c r="IS545" s="80"/>
      <c r="IT545" s="80"/>
      <c r="IU545" s="80"/>
    </row>
    <row r="546" spans="2:255" s="93" customFormat="1" ht="15.75" customHeight="1">
      <c r="B546" s="31" t="s">
        <v>22</v>
      </c>
      <c r="C546" s="32" t="s">
        <v>23</v>
      </c>
      <c r="D546" s="134">
        <f>E546+H546+K546+N546</f>
        <v>5539</v>
      </c>
      <c r="E546" s="110">
        <v>0</v>
      </c>
      <c r="F546" s="111"/>
      <c r="G546" s="29">
        <f t="shared" si="150"/>
        <v>0</v>
      </c>
      <c r="H546" s="110">
        <v>0</v>
      </c>
      <c r="I546" s="111"/>
      <c r="J546" s="29">
        <f t="shared" si="146"/>
        <v>0</v>
      </c>
      <c r="K546" s="110">
        <v>5539</v>
      </c>
      <c r="L546" s="111"/>
      <c r="M546" s="29">
        <f t="shared" si="147"/>
        <v>5539</v>
      </c>
      <c r="N546" s="110">
        <v>0</v>
      </c>
      <c r="O546" s="111"/>
      <c r="P546" s="29">
        <f t="shared" si="148"/>
        <v>0</v>
      </c>
      <c r="Q546" s="29">
        <f t="shared" si="149"/>
        <v>5539</v>
      </c>
      <c r="R546" s="212"/>
      <c r="S546" s="212"/>
      <c r="Z546" s="209">
        <v>0</v>
      </c>
      <c r="AA546" s="130">
        <f>D546+Z546</f>
        <v>5539</v>
      </c>
      <c r="IQ546" s="95"/>
      <c r="IR546" s="95"/>
      <c r="IS546" s="95"/>
      <c r="IT546" s="95"/>
      <c r="IU546" s="95"/>
    </row>
    <row r="547" spans="2:255" s="93" customFormat="1" ht="17.25" customHeight="1">
      <c r="B547" s="31" t="s">
        <v>24</v>
      </c>
      <c r="C547" s="32" t="s">
        <v>25</v>
      </c>
      <c r="D547" s="134">
        <f>E547+H547+K547+N547</f>
        <v>0</v>
      </c>
      <c r="E547" s="110">
        <v>0</v>
      </c>
      <c r="F547" s="111"/>
      <c r="G547" s="29">
        <f t="shared" si="150"/>
        <v>0</v>
      </c>
      <c r="H547" s="110">
        <v>0</v>
      </c>
      <c r="I547" s="111"/>
      <c r="J547" s="29">
        <f t="shared" si="146"/>
        <v>0</v>
      </c>
      <c r="K547" s="110">
        <v>0</v>
      </c>
      <c r="L547" s="111"/>
      <c r="M547" s="29">
        <f t="shared" si="147"/>
        <v>0</v>
      </c>
      <c r="N547" s="110">
        <v>0</v>
      </c>
      <c r="O547" s="111"/>
      <c r="P547" s="29">
        <f t="shared" si="148"/>
        <v>0</v>
      </c>
      <c r="Q547" s="29">
        <f t="shared" si="149"/>
        <v>0</v>
      </c>
      <c r="R547" s="212"/>
      <c r="S547" s="212"/>
      <c r="Z547" s="209">
        <v>0</v>
      </c>
      <c r="AA547" s="130">
        <f>D547+Z547</f>
        <v>0</v>
      </c>
      <c r="IQ547" s="95"/>
      <c r="IR547" s="95"/>
      <c r="IS547" s="95"/>
      <c r="IT547" s="95"/>
      <c r="IU547" s="95"/>
    </row>
    <row r="548" spans="2:255" s="93" customFormat="1" ht="12" customHeight="1">
      <c r="B548" s="37" t="s">
        <v>26</v>
      </c>
      <c r="C548" s="32" t="s">
        <v>27</v>
      </c>
      <c r="D548" s="134">
        <f>E548+H548+K548+N548</f>
        <v>1053</v>
      </c>
      <c r="E548" s="110">
        <v>0</v>
      </c>
      <c r="F548" s="111"/>
      <c r="G548" s="29">
        <f t="shared" si="150"/>
        <v>0</v>
      </c>
      <c r="H548" s="110">
        <v>0</v>
      </c>
      <c r="I548" s="111"/>
      <c r="J548" s="29">
        <f t="shared" si="146"/>
        <v>0</v>
      </c>
      <c r="K548" s="110">
        <v>1053</v>
      </c>
      <c r="L548" s="111"/>
      <c r="M548" s="29">
        <f t="shared" si="147"/>
        <v>1053</v>
      </c>
      <c r="N548" s="110">
        <v>0</v>
      </c>
      <c r="O548" s="111"/>
      <c r="P548" s="29">
        <f t="shared" si="148"/>
        <v>0</v>
      </c>
      <c r="Q548" s="29">
        <f t="shared" si="149"/>
        <v>1053</v>
      </c>
      <c r="R548" s="212"/>
      <c r="S548" s="212"/>
      <c r="Z548" s="209">
        <v>0</v>
      </c>
      <c r="AA548" s="130">
        <f>D548+Z548</f>
        <v>1053</v>
      </c>
      <c r="IQ548" s="95"/>
      <c r="IR548" s="95"/>
      <c r="IS548" s="95"/>
      <c r="IT548" s="95"/>
      <c r="IU548" s="95"/>
    </row>
    <row r="549" spans="2:255" s="93" customFormat="1" ht="20.25" customHeight="1" hidden="1">
      <c r="B549" s="37"/>
      <c r="C549" s="135"/>
      <c r="D549" s="110"/>
      <c r="E549" s="110"/>
      <c r="F549" s="111"/>
      <c r="G549" s="29">
        <f t="shared" si="150"/>
        <v>0</v>
      </c>
      <c r="H549" s="110"/>
      <c r="I549" s="111"/>
      <c r="J549" s="29">
        <f t="shared" si="146"/>
        <v>0</v>
      </c>
      <c r="K549" s="110"/>
      <c r="L549" s="111"/>
      <c r="M549" s="29">
        <f t="shared" si="147"/>
        <v>0</v>
      </c>
      <c r="N549" s="110"/>
      <c r="O549" s="111"/>
      <c r="P549" s="29">
        <f t="shared" si="148"/>
        <v>0</v>
      </c>
      <c r="Q549" s="29">
        <f t="shared" si="149"/>
        <v>0</v>
      </c>
      <c r="R549" s="212"/>
      <c r="S549" s="212"/>
      <c r="Z549" s="216"/>
      <c r="AA549" s="216"/>
      <c r="IQ549" s="95"/>
      <c r="IR549" s="95"/>
      <c r="IS549" s="95"/>
      <c r="IT549" s="95"/>
      <c r="IU549" s="95"/>
    </row>
    <row r="550" spans="2:255" s="93" customFormat="1" ht="13.5" customHeight="1" hidden="1">
      <c r="B550" s="136"/>
      <c r="C550" s="103"/>
      <c r="D550" s="70">
        <f>D551+D552+D553</f>
        <v>6592</v>
      </c>
      <c r="E550" s="70">
        <f>E551+E552+E553</f>
        <v>0</v>
      </c>
      <c r="F550" s="71"/>
      <c r="G550" s="29">
        <f t="shared" si="150"/>
        <v>0</v>
      </c>
      <c r="H550" s="70">
        <f>H551+H552+H553</f>
        <v>0</v>
      </c>
      <c r="I550" s="71"/>
      <c r="J550" s="29">
        <f t="shared" si="146"/>
        <v>0</v>
      </c>
      <c r="K550" s="70">
        <f>K551+K552+K553</f>
        <v>6592</v>
      </c>
      <c r="L550" s="71"/>
      <c r="M550" s="29">
        <f t="shared" si="147"/>
        <v>6592</v>
      </c>
      <c r="N550" s="70">
        <f>N551+N552+N553</f>
        <v>0</v>
      </c>
      <c r="O550" s="71"/>
      <c r="P550" s="29">
        <f t="shared" si="148"/>
        <v>0</v>
      </c>
      <c r="Q550" s="29">
        <f t="shared" si="149"/>
        <v>6592</v>
      </c>
      <c r="R550" s="212"/>
      <c r="S550" s="212"/>
      <c r="Z550" s="216"/>
      <c r="AA550" s="216"/>
      <c r="IQ550" s="95"/>
      <c r="IR550" s="95"/>
      <c r="IS550" s="95"/>
      <c r="IT550" s="95"/>
      <c r="IU550" s="95"/>
    </row>
    <row r="551" spans="2:255" s="93" customFormat="1" ht="19.5" customHeight="1" hidden="1">
      <c r="B551" s="37" t="s">
        <v>28</v>
      </c>
      <c r="C551" s="40" t="s">
        <v>23</v>
      </c>
      <c r="D551" s="110">
        <f>D546</f>
        <v>5539</v>
      </c>
      <c r="E551" s="110">
        <v>0</v>
      </c>
      <c r="F551" s="111"/>
      <c r="G551" s="29">
        <f t="shared" si="150"/>
        <v>0</v>
      </c>
      <c r="H551" s="110">
        <v>0</v>
      </c>
      <c r="I551" s="111"/>
      <c r="J551" s="29">
        <f t="shared" si="146"/>
        <v>0</v>
      </c>
      <c r="K551" s="110">
        <v>5539</v>
      </c>
      <c r="L551" s="111"/>
      <c r="M551" s="29">
        <f t="shared" si="147"/>
        <v>5539</v>
      </c>
      <c r="N551" s="110">
        <v>0</v>
      </c>
      <c r="O551" s="111"/>
      <c r="P551" s="29">
        <f t="shared" si="148"/>
        <v>0</v>
      </c>
      <c r="Q551" s="29">
        <f t="shared" si="149"/>
        <v>5539</v>
      </c>
      <c r="R551" s="212"/>
      <c r="S551" s="212"/>
      <c r="Z551" s="216"/>
      <c r="AA551" s="216"/>
      <c r="IQ551" s="95"/>
      <c r="IR551" s="95"/>
      <c r="IS551" s="95"/>
      <c r="IT551" s="95"/>
      <c r="IU551" s="95"/>
    </row>
    <row r="552" spans="2:255" s="93" customFormat="1" ht="18" customHeight="1" hidden="1">
      <c r="B552" s="37" t="s">
        <v>29</v>
      </c>
      <c r="C552" s="40" t="s">
        <v>30</v>
      </c>
      <c r="D552" s="110">
        <f>D547</f>
        <v>0</v>
      </c>
      <c r="E552" s="110">
        <v>0</v>
      </c>
      <c r="F552" s="111"/>
      <c r="G552" s="29">
        <f t="shared" si="150"/>
        <v>0</v>
      </c>
      <c r="H552" s="110">
        <v>0</v>
      </c>
      <c r="I552" s="111"/>
      <c r="J552" s="29">
        <f t="shared" si="146"/>
        <v>0</v>
      </c>
      <c r="K552" s="110">
        <v>0</v>
      </c>
      <c r="L552" s="111"/>
      <c r="M552" s="29">
        <f t="shared" si="147"/>
        <v>0</v>
      </c>
      <c r="N552" s="110">
        <v>0</v>
      </c>
      <c r="O552" s="111"/>
      <c r="P552" s="29">
        <f t="shared" si="148"/>
        <v>0</v>
      </c>
      <c r="Q552" s="29">
        <f t="shared" si="149"/>
        <v>0</v>
      </c>
      <c r="R552" s="212"/>
      <c r="S552" s="212"/>
      <c r="Z552" s="216"/>
      <c r="AA552" s="216"/>
      <c r="IQ552" s="95"/>
      <c r="IR552" s="95"/>
      <c r="IS552" s="95"/>
      <c r="IT552" s="95"/>
      <c r="IU552" s="95"/>
    </row>
    <row r="553" spans="2:255" s="93" customFormat="1" ht="16.5" customHeight="1" hidden="1">
      <c r="B553" s="37" t="s">
        <v>31</v>
      </c>
      <c r="C553" s="40" t="s">
        <v>27</v>
      </c>
      <c r="D553" s="110">
        <f>D548</f>
        <v>1053</v>
      </c>
      <c r="E553" s="110">
        <v>0</v>
      </c>
      <c r="F553" s="111"/>
      <c r="G553" s="29">
        <f t="shared" si="150"/>
        <v>0</v>
      </c>
      <c r="H553" s="110">
        <v>0</v>
      </c>
      <c r="I553" s="111"/>
      <c r="J553" s="29">
        <f t="shared" si="146"/>
        <v>0</v>
      </c>
      <c r="K553" s="110">
        <v>1053</v>
      </c>
      <c r="L553" s="111"/>
      <c r="M553" s="29">
        <f t="shared" si="147"/>
        <v>1053</v>
      </c>
      <c r="N553" s="110">
        <v>0</v>
      </c>
      <c r="O553" s="111"/>
      <c r="P553" s="29">
        <f t="shared" si="148"/>
        <v>0</v>
      </c>
      <c r="Q553" s="29">
        <f t="shared" si="149"/>
        <v>1053</v>
      </c>
      <c r="R553" s="212"/>
      <c r="S553" s="212"/>
      <c r="Z553" s="216"/>
      <c r="AA553" s="216"/>
      <c r="IQ553" s="95"/>
      <c r="IR553" s="95"/>
      <c r="IS553" s="95"/>
      <c r="IT553" s="95"/>
      <c r="IU553" s="95"/>
    </row>
    <row r="554" spans="1:255" s="77" customFormat="1" ht="31.5" customHeight="1">
      <c r="A554" s="77">
        <v>54</v>
      </c>
      <c r="B554" s="78" t="s">
        <v>129</v>
      </c>
      <c r="C554" s="23" t="s">
        <v>130</v>
      </c>
      <c r="D554" s="41">
        <f aca="true" t="shared" si="151" ref="D554:P554">D555+D556+D557</f>
        <v>15041</v>
      </c>
      <c r="E554" s="41">
        <f t="shared" si="151"/>
        <v>100</v>
      </c>
      <c r="F554" s="41">
        <f t="shared" si="151"/>
        <v>0</v>
      </c>
      <c r="G554" s="41">
        <f t="shared" si="151"/>
        <v>134</v>
      </c>
      <c r="H554" s="41">
        <f t="shared" si="151"/>
        <v>180</v>
      </c>
      <c r="I554" s="41">
        <f t="shared" si="151"/>
        <v>0</v>
      </c>
      <c r="J554" s="41">
        <f t="shared" si="151"/>
        <v>0</v>
      </c>
      <c r="K554" s="41">
        <f t="shared" si="151"/>
        <v>0</v>
      </c>
      <c r="L554" s="41">
        <f t="shared" si="151"/>
        <v>0</v>
      </c>
      <c r="M554" s="41">
        <f t="shared" si="151"/>
        <v>0</v>
      </c>
      <c r="N554" s="41">
        <f t="shared" si="151"/>
        <v>0</v>
      </c>
      <c r="O554" s="41">
        <f t="shared" si="151"/>
        <v>0</v>
      </c>
      <c r="P554" s="41">
        <f t="shared" si="151"/>
        <v>14907</v>
      </c>
      <c r="Q554" s="29">
        <f t="shared" si="149"/>
        <v>15041</v>
      </c>
      <c r="R554" s="210"/>
      <c r="S554" s="210"/>
      <c r="Z554" s="233">
        <v>0</v>
      </c>
      <c r="AA554" s="226">
        <f>D554+Z554</f>
        <v>15041</v>
      </c>
      <c r="IQ554" s="80"/>
      <c r="IR554" s="80"/>
      <c r="IS554" s="80"/>
      <c r="IT554" s="80"/>
      <c r="IU554" s="80"/>
    </row>
    <row r="555" spans="2:255" s="77" customFormat="1" ht="16.5" customHeight="1">
      <c r="B555" s="43" t="s">
        <v>65</v>
      </c>
      <c r="C555" s="32" t="s">
        <v>23</v>
      </c>
      <c r="D555" s="45">
        <f>G555+J555+M555+P555</f>
        <v>12639</v>
      </c>
      <c r="E555" s="45">
        <v>80</v>
      </c>
      <c r="F555" s="53"/>
      <c r="G555" s="33">
        <v>112</v>
      </c>
      <c r="H555" s="45">
        <v>144</v>
      </c>
      <c r="I555" s="53"/>
      <c r="J555" s="33">
        <v>0</v>
      </c>
      <c r="K555" s="45">
        <v>0</v>
      </c>
      <c r="L555" s="53"/>
      <c r="M555" s="33">
        <f>K555+L555</f>
        <v>0</v>
      </c>
      <c r="N555" s="45">
        <v>0</v>
      </c>
      <c r="O555" s="53"/>
      <c r="P555" s="33">
        <v>12527</v>
      </c>
      <c r="Q555" s="29">
        <f t="shared" si="149"/>
        <v>12639</v>
      </c>
      <c r="R555" s="210"/>
      <c r="S555" s="210"/>
      <c r="Z555" s="209">
        <v>0</v>
      </c>
      <c r="AA555" s="130">
        <f>D555+Z555</f>
        <v>12639</v>
      </c>
      <c r="IQ555" s="80"/>
      <c r="IR555" s="80"/>
      <c r="IS555" s="80"/>
      <c r="IT555" s="80"/>
      <c r="IU555" s="80"/>
    </row>
    <row r="556" spans="2:255" s="77" customFormat="1" ht="16.5" customHeight="1">
      <c r="B556" s="43" t="s">
        <v>66</v>
      </c>
      <c r="C556" s="32" t="s">
        <v>25</v>
      </c>
      <c r="D556" s="45">
        <f>G556+J556+M556+P556</f>
        <v>0</v>
      </c>
      <c r="E556" s="45">
        <v>0</v>
      </c>
      <c r="F556" s="53"/>
      <c r="G556" s="33">
        <f>E556+F556</f>
        <v>0</v>
      </c>
      <c r="H556" s="45">
        <v>0</v>
      </c>
      <c r="I556" s="53"/>
      <c r="J556" s="33">
        <f>H556+I556</f>
        <v>0</v>
      </c>
      <c r="K556" s="45">
        <v>0</v>
      </c>
      <c r="L556" s="53"/>
      <c r="M556" s="33">
        <f>K556+L556</f>
        <v>0</v>
      </c>
      <c r="N556" s="45">
        <v>0</v>
      </c>
      <c r="O556" s="53"/>
      <c r="P556" s="33">
        <f>N556+O556</f>
        <v>0</v>
      </c>
      <c r="Q556" s="29">
        <f t="shared" si="149"/>
        <v>0</v>
      </c>
      <c r="R556" s="210"/>
      <c r="S556" s="210"/>
      <c r="Z556" s="209">
        <v>0</v>
      </c>
      <c r="AA556" s="130">
        <f>D556+Z556</f>
        <v>0</v>
      </c>
      <c r="IQ556" s="80"/>
      <c r="IR556" s="80"/>
      <c r="IS556" s="80"/>
      <c r="IT556" s="80"/>
      <c r="IU556" s="80"/>
    </row>
    <row r="557" spans="2:255" s="77" customFormat="1" ht="16.5" customHeight="1">
      <c r="B557" s="38" t="s">
        <v>67</v>
      </c>
      <c r="C557" s="32" t="s">
        <v>27</v>
      </c>
      <c r="D557" s="45">
        <f>G557+J557+M557+P557</f>
        <v>2402</v>
      </c>
      <c r="E557" s="45">
        <v>20</v>
      </c>
      <c r="F557" s="53"/>
      <c r="G557" s="33">
        <v>22</v>
      </c>
      <c r="H557" s="45">
        <v>36</v>
      </c>
      <c r="I557" s="53"/>
      <c r="J557" s="33">
        <v>0</v>
      </c>
      <c r="K557" s="45">
        <v>0</v>
      </c>
      <c r="L557" s="53"/>
      <c r="M557" s="33">
        <f>K557+L557</f>
        <v>0</v>
      </c>
      <c r="N557" s="45">
        <v>0</v>
      </c>
      <c r="O557" s="53"/>
      <c r="P557" s="33">
        <v>2380</v>
      </c>
      <c r="Q557" s="29">
        <f t="shared" si="149"/>
        <v>2402</v>
      </c>
      <c r="R557" s="210"/>
      <c r="S557" s="210"/>
      <c r="Z557" s="209">
        <v>0</v>
      </c>
      <c r="AA557" s="130">
        <f>D557+Z557</f>
        <v>2402</v>
      </c>
      <c r="IQ557" s="80"/>
      <c r="IR557" s="80"/>
      <c r="IS557" s="80"/>
      <c r="IT557" s="80"/>
      <c r="IU557" s="80"/>
    </row>
    <row r="558" spans="2:255" s="77" customFormat="1" ht="16.5" customHeight="1" hidden="1">
      <c r="B558" s="38"/>
      <c r="C558" s="65"/>
      <c r="D558" s="45"/>
      <c r="E558" s="45"/>
      <c r="F558" s="53"/>
      <c r="G558" s="33">
        <f>E558+F558</f>
        <v>0</v>
      </c>
      <c r="H558" s="45"/>
      <c r="I558" s="53"/>
      <c r="J558" s="33">
        <f>H558+I558</f>
        <v>0</v>
      </c>
      <c r="K558" s="45"/>
      <c r="L558" s="53"/>
      <c r="M558" s="33">
        <f>K558+L558</f>
        <v>0</v>
      </c>
      <c r="N558" s="45"/>
      <c r="O558" s="53"/>
      <c r="P558" s="33">
        <f>N558+O558</f>
        <v>0</v>
      </c>
      <c r="Q558" s="29">
        <f t="shared" si="149"/>
        <v>0</v>
      </c>
      <c r="R558" s="210"/>
      <c r="S558" s="210"/>
      <c r="Z558" s="209"/>
      <c r="AA558" s="209"/>
      <c r="IQ558" s="80"/>
      <c r="IR558" s="80"/>
      <c r="IS558" s="80"/>
      <c r="IT558" s="80"/>
      <c r="IU558" s="80"/>
    </row>
    <row r="559" spans="2:255" s="77" customFormat="1" ht="16.5" customHeight="1" hidden="1">
      <c r="B559" s="39"/>
      <c r="C559" s="28"/>
      <c r="D559" s="101">
        <f aca="true" t="shared" si="152" ref="D559:I559">D560+D561+D562</f>
        <v>15041</v>
      </c>
      <c r="E559" s="101">
        <f t="shared" si="152"/>
        <v>100</v>
      </c>
      <c r="F559" s="101">
        <f t="shared" si="152"/>
        <v>0</v>
      </c>
      <c r="G559" s="101">
        <f t="shared" si="152"/>
        <v>134</v>
      </c>
      <c r="H559" s="101">
        <f t="shared" si="152"/>
        <v>180</v>
      </c>
      <c r="I559" s="101">
        <f t="shared" si="152"/>
        <v>0</v>
      </c>
      <c r="J559" s="101">
        <v>0</v>
      </c>
      <c r="K559" s="101">
        <f aca="true" t="shared" si="153" ref="K559:P559">K560+K561+K562</f>
        <v>0</v>
      </c>
      <c r="L559" s="101">
        <f t="shared" si="153"/>
        <v>0</v>
      </c>
      <c r="M559" s="101">
        <f t="shared" si="153"/>
        <v>0</v>
      </c>
      <c r="N559" s="101">
        <f t="shared" si="153"/>
        <v>0</v>
      </c>
      <c r="O559" s="101">
        <f t="shared" si="153"/>
        <v>0</v>
      </c>
      <c r="P559" s="101">
        <f t="shared" si="153"/>
        <v>14907</v>
      </c>
      <c r="Q559" s="29">
        <f t="shared" si="149"/>
        <v>15041</v>
      </c>
      <c r="R559" s="210"/>
      <c r="S559" s="210"/>
      <c r="Z559" s="209"/>
      <c r="AA559" s="209"/>
      <c r="IQ559" s="80"/>
      <c r="IR559" s="80"/>
      <c r="IS559" s="80"/>
      <c r="IT559" s="80"/>
      <c r="IU559" s="80"/>
    </row>
    <row r="560" spans="2:255" s="77" customFormat="1" ht="16.5" customHeight="1" hidden="1">
      <c r="B560" s="38" t="s">
        <v>68</v>
      </c>
      <c r="C560" s="65"/>
      <c r="D560" s="45">
        <f>G560+J560+M560+P560</f>
        <v>12639</v>
      </c>
      <c r="E560" s="45">
        <v>80</v>
      </c>
      <c r="F560" s="53"/>
      <c r="G560" s="33">
        <v>112</v>
      </c>
      <c r="H560" s="45">
        <v>144</v>
      </c>
      <c r="I560" s="53"/>
      <c r="J560" s="33">
        <v>0</v>
      </c>
      <c r="K560" s="45">
        <v>0</v>
      </c>
      <c r="L560" s="53"/>
      <c r="M560" s="33">
        <f>K560+L560</f>
        <v>0</v>
      </c>
      <c r="N560" s="45">
        <v>0</v>
      </c>
      <c r="O560" s="53"/>
      <c r="P560" s="33">
        <v>12527</v>
      </c>
      <c r="Q560" s="29">
        <f t="shared" si="149"/>
        <v>12639</v>
      </c>
      <c r="R560" s="210"/>
      <c r="S560" s="210"/>
      <c r="Z560" s="209"/>
      <c r="AA560" s="209"/>
      <c r="IQ560" s="80"/>
      <c r="IR560" s="80"/>
      <c r="IS560" s="80"/>
      <c r="IT560" s="80"/>
      <c r="IU560" s="80"/>
    </row>
    <row r="561" spans="2:255" s="77" customFormat="1" ht="16.5" customHeight="1" hidden="1">
      <c r="B561" s="38" t="s">
        <v>69</v>
      </c>
      <c r="C561" s="65"/>
      <c r="D561" s="45">
        <f>G561+J561+M561+P561</f>
        <v>0</v>
      </c>
      <c r="E561" s="45">
        <v>0</v>
      </c>
      <c r="F561" s="53"/>
      <c r="G561" s="33">
        <f>E561+F561</f>
        <v>0</v>
      </c>
      <c r="H561" s="45">
        <v>0</v>
      </c>
      <c r="I561" s="53"/>
      <c r="J561" s="33">
        <f>H561+I561</f>
        <v>0</v>
      </c>
      <c r="K561" s="45">
        <v>0</v>
      </c>
      <c r="L561" s="53"/>
      <c r="M561" s="33">
        <f>K561+L561</f>
        <v>0</v>
      </c>
      <c r="N561" s="45">
        <v>0</v>
      </c>
      <c r="O561" s="53"/>
      <c r="P561" s="33">
        <f>N561+O561</f>
        <v>0</v>
      </c>
      <c r="Q561" s="29">
        <f t="shared" si="149"/>
        <v>0</v>
      </c>
      <c r="R561" s="210"/>
      <c r="S561" s="210"/>
      <c r="Z561" s="209"/>
      <c r="AA561" s="209"/>
      <c r="IQ561" s="80"/>
      <c r="IR561" s="80"/>
      <c r="IS561" s="80"/>
      <c r="IT561" s="80"/>
      <c r="IU561" s="80"/>
    </row>
    <row r="562" spans="2:255" s="77" customFormat="1" ht="16.5" customHeight="1" hidden="1">
      <c r="B562" s="38" t="s">
        <v>70</v>
      </c>
      <c r="C562" s="65"/>
      <c r="D562" s="45">
        <f>G562+J562+M562+P562</f>
        <v>2402</v>
      </c>
      <c r="E562" s="45">
        <v>20</v>
      </c>
      <c r="F562" s="53"/>
      <c r="G562" s="33">
        <v>22</v>
      </c>
      <c r="H562" s="45">
        <v>36</v>
      </c>
      <c r="I562" s="53"/>
      <c r="J562" s="33">
        <v>0</v>
      </c>
      <c r="K562" s="45">
        <v>0</v>
      </c>
      <c r="L562" s="53"/>
      <c r="M562" s="33">
        <f>K562+L562</f>
        <v>0</v>
      </c>
      <c r="N562" s="45">
        <v>0</v>
      </c>
      <c r="O562" s="53"/>
      <c r="P562" s="33">
        <v>2380</v>
      </c>
      <c r="Q562" s="29">
        <f t="shared" si="149"/>
        <v>2402</v>
      </c>
      <c r="R562" s="210"/>
      <c r="S562" s="210"/>
      <c r="Z562" s="209"/>
      <c r="AA562" s="209"/>
      <c r="IQ562" s="80"/>
      <c r="IR562" s="80"/>
      <c r="IS562" s="80"/>
      <c r="IT562" s="80"/>
      <c r="IU562" s="80"/>
    </row>
    <row r="563" spans="1:255" s="93" customFormat="1" ht="33.75" customHeight="1">
      <c r="A563" s="93">
        <v>55</v>
      </c>
      <c r="B563" s="78" t="s">
        <v>129</v>
      </c>
      <c r="C563" s="23" t="s">
        <v>131</v>
      </c>
      <c r="D563" s="41">
        <f aca="true" t="shared" si="154" ref="D563:P563">D564+D565+D566</f>
        <v>2986</v>
      </c>
      <c r="E563" s="41">
        <f t="shared" si="154"/>
        <v>100</v>
      </c>
      <c r="F563" s="41">
        <f t="shared" si="154"/>
        <v>0</v>
      </c>
      <c r="G563" s="41">
        <f t="shared" si="154"/>
        <v>118</v>
      </c>
      <c r="H563" s="41">
        <f t="shared" si="154"/>
        <v>180</v>
      </c>
      <c r="I563" s="41">
        <f t="shared" si="154"/>
        <v>0</v>
      </c>
      <c r="J563" s="41">
        <f t="shared" si="154"/>
        <v>12</v>
      </c>
      <c r="K563" s="41">
        <f t="shared" si="154"/>
        <v>0</v>
      </c>
      <c r="L563" s="41">
        <f t="shared" si="154"/>
        <v>0</v>
      </c>
      <c r="M563" s="41">
        <f t="shared" si="154"/>
        <v>0</v>
      </c>
      <c r="N563" s="41">
        <f t="shared" si="154"/>
        <v>0</v>
      </c>
      <c r="O563" s="41">
        <f t="shared" si="154"/>
        <v>0</v>
      </c>
      <c r="P563" s="41">
        <f t="shared" si="154"/>
        <v>2856</v>
      </c>
      <c r="Q563" s="29">
        <f t="shared" si="149"/>
        <v>2986</v>
      </c>
      <c r="R563" s="212"/>
      <c r="S563" s="212"/>
      <c r="Z563" s="233">
        <v>0</v>
      </c>
      <c r="AA563" s="226">
        <f>D563+Z563</f>
        <v>2986</v>
      </c>
      <c r="IQ563" s="95"/>
      <c r="IR563" s="95"/>
      <c r="IS563" s="95"/>
      <c r="IT563" s="95"/>
      <c r="IU563" s="95"/>
    </row>
    <row r="564" spans="2:255" s="93" customFormat="1" ht="16.5" customHeight="1">
      <c r="B564" s="43" t="s">
        <v>65</v>
      </c>
      <c r="C564" s="32" t="s">
        <v>23</v>
      </c>
      <c r="D564" s="82">
        <f>G564+J564+M564+P564</f>
        <v>2508</v>
      </c>
      <c r="E564" s="82">
        <v>80</v>
      </c>
      <c r="F564" s="83"/>
      <c r="G564" s="29">
        <v>98</v>
      </c>
      <c r="H564" s="82">
        <v>144</v>
      </c>
      <c r="I564" s="83"/>
      <c r="J564" s="29">
        <v>10</v>
      </c>
      <c r="K564" s="82">
        <v>0</v>
      </c>
      <c r="L564" s="83"/>
      <c r="M564" s="29">
        <f>K564+L564</f>
        <v>0</v>
      </c>
      <c r="N564" s="82">
        <v>0</v>
      </c>
      <c r="O564" s="83"/>
      <c r="P564" s="29">
        <v>2400</v>
      </c>
      <c r="Q564" s="29">
        <f t="shared" si="149"/>
        <v>2508</v>
      </c>
      <c r="R564" s="212"/>
      <c r="S564" s="212"/>
      <c r="Z564" s="209">
        <v>0</v>
      </c>
      <c r="AA564" s="130">
        <f>D564+Z564</f>
        <v>2508</v>
      </c>
      <c r="IQ564" s="95"/>
      <c r="IR564" s="95"/>
      <c r="IS564" s="95"/>
      <c r="IT564" s="95"/>
      <c r="IU564" s="95"/>
    </row>
    <row r="565" spans="2:255" s="93" customFormat="1" ht="16.5" customHeight="1">
      <c r="B565" s="43" t="s">
        <v>66</v>
      </c>
      <c r="C565" s="32" t="s">
        <v>25</v>
      </c>
      <c r="D565" s="82">
        <f>G565+J565+M565+P565</f>
        <v>0</v>
      </c>
      <c r="E565" s="82">
        <v>0</v>
      </c>
      <c r="F565" s="83"/>
      <c r="G565" s="29">
        <f>E565+F565</f>
        <v>0</v>
      </c>
      <c r="H565" s="82">
        <v>0</v>
      </c>
      <c r="I565" s="83"/>
      <c r="J565" s="29">
        <f>H565+I565</f>
        <v>0</v>
      </c>
      <c r="K565" s="82">
        <v>0</v>
      </c>
      <c r="L565" s="83"/>
      <c r="M565" s="29">
        <f>K565+L565</f>
        <v>0</v>
      </c>
      <c r="N565" s="82">
        <v>0</v>
      </c>
      <c r="O565" s="83"/>
      <c r="P565" s="29">
        <f>N565+O565</f>
        <v>0</v>
      </c>
      <c r="Q565" s="29">
        <f t="shared" si="149"/>
        <v>0</v>
      </c>
      <c r="R565" s="212"/>
      <c r="S565" s="212"/>
      <c r="Z565" s="209">
        <v>0</v>
      </c>
      <c r="AA565" s="130">
        <f>D565+Z565</f>
        <v>0</v>
      </c>
      <c r="IQ565" s="95"/>
      <c r="IR565" s="95"/>
      <c r="IS565" s="95"/>
      <c r="IT565" s="95"/>
      <c r="IU565" s="95"/>
    </row>
    <row r="566" spans="2:255" s="93" customFormat="1" ht="16.5" customHeight="1">
      <c r="B566" s="38" t="s">
        <v>67</v>
      </c>
      <c r="C566" s="32" t="s">
        <v>27</v>
      </c>
      <c r="D566" s="82">
        <f>G566+J566+M566+P566</f>
        <v>478</v>
      </c>
      <c r="E566" s="82">
        <v>20</v>
      </c>
      <c r="F566" s="83"/>
      <c r="G566" s="29">
        <v>20</v>
      </c>
      <c r="H566" s="82">
        <v>36</v>
      </c>
      <c r="I566" s="83"/>
      <c r="J566" s="29">
        <v>2</v>
      </c>
      <c r="K566" s="82">
        <v>0</v>
      </c>
      <c r="L566" s="83"/>
      <c r="M566" s="29">
        <f>K566+L566</f>
        <v>0</v>
      </c>
      <c r="N566" s="82">
        <v>0</v>
      </c>
      <c r="O566" s="83"/>
      <c r="P566" s="29">
        <v>456</v>
      </c>
      <c r="Q566" s="29">
        <f aca="true" t="shared" si="155" ref="Q566:Q597">G566+J566+M566+P566</f>
        <v>478</v>
      </c>
      <c r="R566" s="212"/>
      <c r="S566" s="212"/>
      <c r="Z566" s="209">
        <v>0</v>
      </c>
      <c r="AA566" s="130">
        <f>D566+Z566</f>
        <v>478</v>
      </c>
      <c r="IQ566" s="95"/>
      <c r="IR566" s="95"/>
      <c r="IS566" s="95"/>
      <c r="IT566" s="95"/>
      <c r="IU566" s="95"/>
    </row>
    <row r="567" spans="2:255" s="93" customFormat="1" ht="16.5" customHeight="1" hidden="1">
      <c r="B567" s="38"/>
      <c r="C567" s="65"/>
      <c r="D567" s="82"/>
      <c r="E567" s="82"/>
      <c r="F567" s="83"/>
      <c r="G567" s="29">
        <f>E567+F567</f>
        <v>0</v>
      </c>
      <c r="H567" s="82"/>
      <c r="I567" s="83"/>
      <c r="J567" s="29">
        <f>H567+I567</f>
        <v>0</v>
      </c>
      <c r="K567" s="82"/>
      <c r="L567" s="83"/>
      <c r="M567" s="29">
        <f>K567+L567</f>
        <v>0</v>
      </c>
      <c r="N567" s="82"/>
      <c r="O567" s="83"/>
      <c r="P567" s="29">
        <f>N567+O567</f>
        <v>0</v>
      </c>
      <c r="Q567" s="29">
        <f t="shared" si="155"/>
        <v>0</v>
      </c>
      <c r="R567" s="212"/>
      <c r="S567" s="212"/>
      <c r="Z567" s="216"/>
      <c r="AA567" s="216"/>
      <c r="IQ567" s="95"/>
      <c r="IR567" s="95"/>
      <c r="IS567" s="95"/>
      <c r="IT567" s="95"/>
      <c r="IU567" s="95"/>
    </row>
    <row r="568" spans="2:255" s="93" customFormat="1" ht="16.5" customHeight="1" hidden="1">
      <c r="B568" s="39"/>
      <c r="C568" s="28"/>
      <c r="D568" s="101">
        <f aca="true" t="shared" si="156" ref="D568:P568">D569+D570+D571</f>
        <v>2986</v>
      </c>
      <c r="E568" s="101">
        <f t="shared" si="156"/>
        <v>100</v>
      </c>
      <c r="F568" s="101">
        <f t="shared" si="156"/>
        <v>0</v>
      </c>
      <c r="G568" s="101">
        <f t="shared" si="156"/>
        <v>118</v>
      </c>
      <c r="H568" s="101">
        <f t="shared" si="156"/>
        <v>180</v>
      </c>
      <c r="I568" s="101">
        <f t="shared" si="156"/>
        <v>0</v>
      </c>
      <c r="J568" s="101">
        <f t="shared" si="156"/>
        <v>12</v>
      </c>
      <c r="K568" s="101">
        <f t="shared" si="156"/>
        <v>0</v>
      </c>
      <c r="L568" s="101">
        <f t="shared" si="156"/>
        <v>0</v>
      </c>
      <c r="M568" s="101">
        <f t="shared" si="156"/>
        <v>0</v>
      </c>
      <c r="N568" s="101">
        <f t="shared" si="156"/>
        <v>0</v>
      </c>
      <c r="O568" s="101">
        <f t="shared" si="156"/>
        <v>0</v>
      </c>
      <c r="P568" s="101">
        <f t="shared" si="156"/>
        <v>2856</v>
      </c>
      <c r="Q568" s="29">
        <f t="shared" si="155"/>
        <v>2986</v>
      </c>
      <c r="R568" s="212"/>
      <c r="S568" s="212"/>
      <c r="Z568" s="216"/>
      <c r="AA568" s="216"/>
      <c r="IQ568" s="95"/>
      <c r="IR568" s="95"/>
      <c r="IS568" s="95"/>
      <c r="IT568" s="95"/>
      <c r="IU568" s="95"/>
    </row>
    <row r="569" spans="2:255" s="93" customFormat="1" ht="16.5" customHeight="1" hidden="1">
      <c r="B569" s="38" t="s">
        <v>68</v>
      </c>
      <c r="C569" s="65"/>
      <c r="D569" s="82">
        <f>G569+J569+M569+P569</f>
        <v>2508</v>
      </c>
      <c r="E569" s="82">
        <v>80</v>
      </c>
      <c r="F569" s="83"/>
      <c r="G569" s="29">
        <v>98</v>
      </c>
      <c r="H569" s="82">
        <v>144</v>
      </c>
      <c r="I569" s="83"/>
      <c r="J569" s="29">
        <v>10</v>
      </c>
      <c r="K569" s="82">
        <v>0</v>
      </c>
      <c r="L569" s="83"/>
      <c r="M569" s="29">
        <f>K569+L569</f>
        <v>0</v>
      </c>
      <c r="N569" s="82">
        <v>0</v>
      </c>
      <c r="O569" s="83"/>
      <c r="P569" s="29">
        <v>2400</v>
      </c>
      <c r="Q569" s="29">
        <f t="shared" si="155"/>
        <v>2508</v>
      </c>
      <c r="R569" s="212"/>
      <c r="S569" s="212"/>
      <c r="Z569" s="216"/>
      <c r="AA569" s="216"/>
      <c r="IQ569" s="95"/>
      <c r="IR569" s="95"/>
      <c r="IS569" s="95"/>
      <c r="IT569" s="95"/>
      <c r="IU569" s="95"/>
    </row>
    <row r="570" spans="2:255" s="93" customFormat="1" ht="16.5" customHeight="1" hidden="1">
      <c r="B570" s="38" t="s">
        <v>69</v>
      </c>
      <c r="C570" s="65"/>
      <c r="D570" s="82">
        <f>G570+J570+M570+P570</f>
        <v>0</v>
      </c>
      <c r="E570" s="82">
        <v>0</v>
      </c>
      <c r="F570" s="83"/>
      <c r="G570" s="29">
        <f>E570+F570</f>
        <v>0</v>
      </c>
      <c r="H570" s="82">
        <v>0</v>
      </c>
      <c r="I570" s="83"/>
      <c r="J570" s="29">
        <f>H570+I570</f>
        <v>0</v>
      </c>
      <c r="K570" s="82">
        <v>0</v>
      </c>
      <c r="L570" s="83"/>
      <c r="M570" s="29">
        <f>K570+L570</f>
        <v>0</v>
      </c>
      <c r="N570" s="82">
        <v>0</v>
      </c>
      <c r="O570" s="83"/>
      <c r="P570" s="29">
        <f>N570+O570</f>
        <v>0</v>
      </c>
      <c r="Q570" s="29">
        <f t="shared" si="155"/>
        <v>0</v>
      </c>
      <c r="R570" s="212"/>
      <c r="S570" s="212"/>
      <c r="Z570" s="216"/>
      <c r="AA570" s="216"/>
      <c r="IQ570" s="95"/>
      <c r="IR570" s="95"/>
      <c r="IS570" s="95"/>
      <c r="IT570" s="95"/>
      <c r="IU570" s="95"/>
    </row>
    <row r="571" spans="2:255" s="93" customFormat="1" ht="16.5" customHeight="1" hidden="1">
      <c r="B571" s="38" t="s">
        <v>70</v>
      </c>
      <c r="C571" s="65"/>
      <c r="D571" s="82">
        <f>G571+J571+M571+P571</f>
        <v>478</v>
      </c>
      <c r="E571" s="82">
        <v>20</v>
      </c>
      <c r="F571" s="83"/>
      <c r="G571" s="29">
        <v>20</v>
      </c>
      <c r="H571" s="82">
        <v>36</v>
      </c>
      <c r="I571" s="83"/>
      <c r="J571" s="29">
        <v>2</v>
      </c>
      <c r="K571" s="82">
        <v>0</v>
      </c>
      <c r="L571" s="83"/>
      <c r="M571" s="29">
        <f>K571+L571</f>
        <v>0</v>
      </c>
      <c r="N571" s="82">
        <v>0</v>
      </c>
      <c r="O571" s="83"/>
      <c r="P571" s="29">
        <v>456</v>
      </c>
      <c r="Q571" s="29">
        <f t="shared" si="155"/>
        <v>478</v>
      </c>
      <c r="R571" s="212"/>
      <c r="S571" s="212"/>
      <c r="Z571" s="216"/>
      <c r="AA571" s="216"/>
      <c r="IQ571" s="95"/>
      <c r="IR571" s="95"/>
      <c r="IS571" s="95"/>
      <c r="IT571" s="95"/>
      <c r="IU571" s="95"/>
    </row>
    <row r="572" spans="1:255" s="93" customFormat="1" ht="28.5" customHeight="1">
      <c r="A572" s="93">
        <v>56</v>
      </c>
      <c r="B572" s="78" t="s">
        <v>129</v>
      </c>
      <c r="C572" s="23" t="s">
        <v>132</v>
      </c>
      <c r="D572" s="41">
        <f>D573+D574+D575</f>
        <v>4073</v>
      </c>
      <c r="E572" s="41">
        <f>E573+E574+E575</f>
        <v>100</v>
      </c>
      <c r="F572" s="42"/>
      <c r="G572" s="29">
        <f>G573+G574+G575</f>
        <v>39</v>
      </c>
      <c r="H572" s="41">
        <f>H573+H574+H575</f>
        <v>180</v>
      </c>
      <c r="I572" s="42"/>
      <c r="J572" s="29">
        <f>J573+J574+J575</f>
        <v>86</v>
      </c>
      <c r="K572" s="41">
        <f>K573+K574+K575</f>
        <v>0</v>
      </c>
      <c r="L572" s="42"/>
      <c r="M572" s="29">
        <f>M573+M574+M575</f>
        <v>3948</v>
      </c>
      <c r="N572" s="41">
        <f>N573+N574+N575</f>
        <v>0</v>
      </c>
      <c r="O572" s="42"/>
      <c r="P572" s="29">
        <f aca="true" t="shared" si="157" ref="P572:P580">N572+O572</f>
        <v>0</v>
      </c>
      <c r="Q572" s="29">
        <f t="shared" si="155"/>
        <v>4073</v>
      </c>
      <c r="R572" s="212"/>
      <c r="S572" s="212"/>
      <c r="Z572" s="233">
        <v>0</v>
      </c>
      <c r="AA572" s="226">
        <f>D572+Z572</f>
        <v>4073</v>
      </c>
      <c r="IQ572" s="95"/>
      <c r="IR572" s="95"/>
      <c r="IS572" s="95"/>
      <c r="IT572" s="95"/>
      <c r="IU572" s="95"/>
    </row>
    <row r="573" spans="2:255" s="93" customFormat="1" ht="16.5" customHeight="1">
      <c r="B573" s="43" t="s">
        <v>65</v>
      </c>
      <c r="C573" s="32" t="s">
        <v>23</v>
      </c>
      <c r="D573" s="82">
        <f>G573+J573+M573+P573</f>
        <v>3423</v>
      </c>
      <c r="E573" s="82">
        <v>80</v>
      </c>
      <c r="F573" s="83"/>
      <c r="G573" s="33">
        <v>34</v>
      </c>
      <c r="H573" s="45">
        <v>144</v>
      </c>
      <c r="I573" s="53"/>
      <c r="J573" s="33">
        <v>72</v>
      </c>
      <c r="K573" s="45">
        <v>0</v>
      </c>
      <c r="L573" s="53"/>
      <c r="M573" s="33">
        <v>3317</v>
      </c>
      <c r="N573" s="45">
        <v>0</v>
      </c>
      <c r="O573" s="53"/>
      <c r="P573" s="33">
        <f t="shared" si="157"/>
        <v>0</v>
      </c>
      <c r="Q573" s="29">
        <f t="shared" si="155"/>
        <v>3423</v>
      </c>
      <c r="R573" s="212"/>
      <c r="S573" s="212"/>
      <c r="Z573" s="209">
        <v>0</v>
      </c>
      <c r="AA573" s="130">
        <f>D573+Z573</f>
        <v>3423</v>
      </c>
      <c r="IQ573" s="95"/>
      <c r="IR573" s="95"/>
      <c r="IS573" s="95"/>
      <c r="IT573" s="95"/>
      <c r="IU573" s="95"/>
    </row>
    <row r="574" spans="2:255" s="93" customFormat="1" ht="16.5" customHeight="1">
      <c r="B574" s="43" t="s">
        <v>66</v>
      </c>
      <c r="C574" s="32" t="s">
        <v>25</v>
      </c>
      <c r="D574" s="82">
        <f>G574+J574+M574+P574</f>
        <v>0</v>
      </c>
      <c r="E574" s="82">
        <v>0</v>
      </c>
      <c r="F574" s="83"/>
      <c r="G574" s="33">
        <f>E574+F574</f>
        <v>0</v>
      </c>
      <c r="H574" s="45">
        <v>0</v>
      </c>
      <c r="I574" s="53"/>
      <c r="J574" s="33">
        <f>H574+I574</f>
        <v>0</v>
      </c>
      <c r="K574" s="45">
        <v>0</v>
      </c>
      <c r="L574" s="53"/>
      <c r="M574" s="33">
        <f>K574+L574</f>
        <v>0</v>
      </c>
      <c r="N574" s="45">
        <v>0</v>
      </c>
      <c r="O574" s="53"/>
      <c r="P574" s="33">
        <f t="shared" si="157"/>
        <v>0</v>
      </c>
      <c r="Q574" s="29">
        <f t="shared" si="155"/>
        <v>0</v>
      </c>
      <c r="R574" s="212"/>
      <c r="S574" s="212"/>
      <c r="Z574" s="209">
        <v>0</v>
      </c>
      <c r="AA574" s="130">
        <f>D574+Z574</f>
        <v>0</v>
      </c>
      <c r="IQ574" s="95"/>
      <c r="IR574" s="95"/>
      <c r="IS574" s="95"/>
      <c r="IT574" s="95"/>
      <c r="IU574" s="95"/>
    </row>
    <row r="575" spans="2:255" s="93" customFormat="1" ht="15" customHeight="1">
      <c r="B575" s="38" t="s">
        <v>67</v>
      </c>
      <c r="C575" s="32" t="s">
        <v>27</v>
      </c>
      <c r="D575" s="82">
        <f>G575+J575+M575+P575</f>
        <v>650</v>
      </c>
      <c r="E575" s="82">
        <v>20</v>
      </c>
      <c r="F575" s="83"/>
      <c r="G575" s="33">
        <v>5</v>
      </c>
      <c r="H575" s="45">
        <v>36</v>
      </c>
      <c r="I575" s="53"/>
      <c r="J575" s="33">
        <v>14</v>
      </c>
      <c r="K575" s="45">
        <v>0</v>
      </c>
      <c r="L575" s="53"/>
      <c r="M575" s="33">
        <v>631</v>
      </c>
      <c r="N575" s="45">
        <v>0</v>
      </c>
      <c r="O575" s="53"/>
      <c r="P575" s="33">
        <f t="shared" si="157"/>
        <v>0</v>
      </c>
      <c r="Q575" s="29">
        <f t="shared" si="155"/>
        <v>650</v>
      </c>
      <c r="R575" s="212"/>
      <c r="S575" s="212"/>
      <c r="Z575" s="209">
        <v>0</v>
      </c>
      <c r="AA575" s="130">
        <f>D575+Z575</f>
        <v>650</v>
      </c>
      <c r="IQ575" s="95"/>
      <c r="IR575" s="95"/>
      <c r="IS575" s="95"/>
      <c r="IT575" s="95"/>
      <c r="IU575" s="95"/>
    </row>
    <row r="576" spans="2:255" s="93" customFormat="1" ht="16.5" customHeight="1" hidden="1">
      <c r="B576" s="38"/>
      <c r="C576" s="65"/>
      <c r="D576" s="82"/>
      <c r="E576" s="82"/>
      <c r="F576" s="83"/>
      <c r="G576" s="29">
        <f>E576+F576</f>
        <v>0</v>
      </c>
      <c r="H576" s="82"/>
      <c r="I576" s="83"/>
      <c r="J576" s="29">
        <f>H576+I576</f>
        <v>0</v>
      </c>
      <c r="K576" s="82"/>
      <c r="L576" s="83"/>
      <c r="M576" s="29">
        <f>K576+L576</f>
        <v>0</v>
      </c>
      <c r="N576" s="82"/>
      <c r="O576" s="83"/>
      <c r="P576" s="29">
        <f t="shared" si="157"/>
        <v>0</v>
      </c>
      <c r="Q576" s="29">
        <f t="shared" si="155"/>
        <v>0</v>
      </c>
      <c r="R576" s="212"/>
      <c r="S576" s="212"/>
      <c r="Z576" s="216"/>
      <c r="AA576" s="216"/>
      <c r="IQ576" s="95"/>
      <c r="IR576" s="95"/>
      <c r="IS576" s="95"/>
      <c r="IT576" s="95"/>
      <c r="IU576" s="95"/>
    </row>
    <row r="577" spans="2:255" s="93" customFormat="1" ht="16.5" customHeight="1" hidden="1">
      <c r="B577" s="39"/>
      <c r="C577" s="28"/>
      <c r="D577" s="101">
        <f>D578+D579+D580</f>
        <v>4073</v>
      </c>
      <c r="E577" s="101">
        <f>E578+E579+E580+E581+E582+E583</f>
        <v>319</v>
      </c>
      <c r="F577" s="102"/>
      <c r="G577" s="29">
        <f>G578+G579+G580</f>
        <v>39</v>
      </c>
      <c r="H577" s="101">
        <f>H578+H579+H580+H581+H582+H583</f>
        <v>399</v>
      </c>
      <c r="I577" s="102"/>
      <c r="J577" s="29">
        <f>J578+J579+J580</f>
        <v>86</v>
      </c>
      <c r="K577" s="101">
        <f>K578+K579+K580+K581+K582+K583</f>
        <v>0</v>
      </c>
      <c r="L577" s="102"/>
      <c r="M577" s="29">
        <f>M578+M579+M580</f>
        <v>3948</v>
      </c>
      <c r="N577" s="101">
        <f>N578+N579+N580+N581+N582+N583</f>
        <v>0</v>
      </c>
      <c r="O577" s="102"/>
      <c r="P577" s="29">
        <f t="shared" si="157"/>
        <v>0</v>
      </c>
      <c r="Q577" s="29">
        <f t="shared" si="155"/>
        <v>4073</v>
      </c>
      <c r="R577" s="212"/>
      <c r="S577" s="212"/>
      <c r="Z577" s="216"/>
      <c r="AA577" s="216"/>
      <c r="IQ577" s="95"/>
      <c r="IR577" s="95"/>
      <c r="IS577" s="95"/>
      <c r="IT577" s="95"/>
      <c r="IU577" s="95"/>
    </row>
    <row r="578" spans="1:255" s="93" customFormat="1" ht="16.5" customHeight="1" hidden="1">
      <c r="A578" s="93">
        <v>57</v>
      </c>
      <c r="B578" s="38" t="s">
        <v>68</v>
      </c>
      <c r="C578" s="65"/>
      <c r="D578" s="82">
        <f>G578+J578+M578+P578</f>
        <v>3423</v>
      </c>
      <c r="E578" s="82">
        <v>80</v>
      </c>
      <c r="F578" s="83"/>
      <c r="G578" s="33">
        <f>G573</f>
        <v>34</v>
      </c>
      <c r="H578" s="45">
        <v>144</v>
      </c>
      <c r="I578" s="53"/>
      <c r="J578" s="33">
        <v>72</v>
      </c>
      <c r="K578" s="45">
        <v>0</v>
      </c>
      <c r="L578" s="53"/>
      <c r="M578" s="33">
        <v>3317</v>
      </c>
      <c r="N578" s="45">
        <v>0</v>
      </c>
      <c r="O578" s="53"/>
      <c r="P578" s="33">
        <f t="shared" si="157"/>
        <v>0</v>
      </c>
      <c r="Q578" s="29">
        <f t="shared" si="155"/>
        <v>3423</v>
      </c>
      <c r="R578" s="212"/>
      <c r="S578" s="212"/>
      <c r="Z578" s="216"/>
      <c r="AA578" s="216"/>
      <c r="IQ578" s="95"/>
      <c r="IR578" s="95"/>
      <c r="IS578" s="95"/>
      <c r="IT578" s="95"/>
      <c r="IU578" s="95"/>
    </row>
    <row r="579" spans="2:255" s="93" customFormat="1" ht="17.25" customHeight="1" hidden="1">
      <c r="B579" s="38" t="s">
        <v>69</v>
      </c>
      <c r="C579" s="65"/>
      <c r="D579" s="82">
        <f>SUM(E579:K579)</f>
        <v>0</v>
      </c>
      <c r="E579" s="82">
        <v>0</v>
      </c>
      <c r="F579" s="83"/>
      <c r="G579" s="33">
        <f>E579+F579</f>
        <v>0</v>
      </c>
      <c r="H579" s="45">
        <v>0</v>
      </c>
      <c r="I579" s="53"/>
      <c r="J579" s="33">
        <f>H579+I579</f>
        <v>0</v>
      </c>
      <c r="K579" s="45">
        <v>0</v>
      </c>
      <c r="L579" s="53"/>
      <c r="M579" s="33">
        <f>K579+L579</f>
        <v>0</v>
      </c>
      <c r="N579" s="45">
        <v>0</v>
      </c>
      <c r="O579" s="53"/>
      <c r="P579" s="33">
        <f t="shared" si="157"/>
        <v>0</v>
      </c>
      <c r="Q579" s="29">
        <f t="shared" si="155"/>
        <v>0</v>
      </c>
      <c r="R579" s="212"/>
      <c r="S579" s="212"/>
      <c r="Z579" s="216"/>
      <c r="AA579" s="216"/>
      <c r="IQ579" s="95"/>
      <c r="IR579" s="95"/>
      <c r="IS579" s="95"/>
      <c r="IT579" s="95"/>
      <c r="IU579" s="95"/>
    </row>
    <row r="580" spans="2:255" s="93" customFormat="1" ht="18.75" customHeight="1" hidden="1">
      <c r="B580" s="38" t="s">
        <v>70</v>
      </c>
      <c r="C580" s="65"/>
      <c r="D580" s="82">
        <f>G580+J580+M580+P580</f>
        <v>650</v>
      </c>
      <c r="E580" s="82">
        <v>20</v>
      </c>
      <c r="F580" s="83"/>
      <c r="G580" s="33">
        <v>5</v>
      </c>
      <c r="H580" s="45">
        <v>36</v>
      </c>
      <c r="I580" s="53"/>
      <c r="J580" s="33">
        <v>14</v>
      </c>
      <c r="K580" s="45">
        <v>0</v>
      </c>
      <c r="L580" s="53"/>
      <c r="M580" s="33">
        <v>631</v>
      </c>
      <c r="N580" s="45">
        <v>0</v>
      </c>
      <c r="O580" s="53"/>
      <c r="P580" s="33">
        <f t="shared" si="157"/>
        <v>0</v>
      </c>
      <c r="Q580" s="29">
        <f t="shared" si="155"/>
        <v>650</v>
      </c>
      <c r="R580" s="212"/>
      <c r="S580" s="212"/>
      <c r="Z580" s="216"/>
      <c r="AA580" s="216"/>
      <c r="IQ580" s="95"/>
      <c r="IR580" s="95"/>
      <c r="IS580" s="95"/>
      <c r="IT580" s="95"/>
      <c r="IU580" s="95"/>
    </row>
    <row r="581" spans="2:255" s="93" customFormat="1" ht="33" customHeight="1">
      <c r="B581" s="78" t="s">
        <v>129</v>
      </c>
      <c r="C581" s="23" t="s">
        <v>133</v>
      </c>
      <c r="D581" s="101">
        <f>SUM(D582:D584)</f>
        <v>6069</v>
      </c>
      <c r="E581" s="101">
        <f>SUM(E582:E584)</f>
        <v>119</v>
      </c>
      <c r="F581" s="102"/>
      <c r="G581" s="29">
        <f>G582+G584</f>
        <v>119</v>
      </c>
      <c r="H581" s="101">
        <f>SUM(H582:H584)</f>
        <v>119</v>
      </c>
      <c r="I581" s="102"/>
      <c r="J581" s="29">
        <f>J582+J584</f>
        <v>119</v>
      </c>
      <c r="K581" s="101">
        <f>SUM(K582:K584)</f>
        <v>0</v>
      </c>
      <c r="L581" s="102"/>
      <c r="M581" s="29">
        <f>M582+M584</f>
        <v>1666</v>
      </c>
      <c r="N581" s="101">
        <f>SUM(N582:N584)</f>
        <v>0</v>
      </c>
      <c r="O581" s="102"/>
      <c r="P581" s="29">
        <f>P582+P584</f>
        <v>4165</v>
      </c>
      <c r="Q581" s="29">
        <f t="shared" si="155"/>
        <v>6069</v>
      </c>
      <c r="R581" s="212"/>
      <c r="S581" s="212"/>
      <c r="Z581" s="233">
        <v>0</v>
      </c>
      <c r="AA581" s="226">
        <f>D581+Z581</f>
        <v>6069</v>
      </c>
      <c r="IQ581" s="95"/>
      <c r="IR581" s="95"/>
      <c r="IS581" s="95"/>
      <c r="IT581" s="95"/>
      <c r="IU581" s="95"/>
    </row>
    <row r="582" spans="2:255" s="93" customFormat="1" ht="16.5" customHeight="1">
      <c r="B582" s="43" t="s">
        <v>65</v>
      </c>
      <c r="C582" s="32" t="s">
        <v>23</v>
      </c>
      <c r="D582" s="82">
        <f>G582+J582+M582+P582</f>
        <v>5100</v>
      </c>
      <c r="E582" s="82">
        <v>100</v>
      </c>
      <c r="F582" s="83"/>
      <c r="G582" s="29">
        <v>100</v>
      </c>
      <c r="H582" s="82">
        <v>100</v>
      </c>
      <c r="I582" s="83"/>
      <c r="J582" s="29">
        <v>100</v>
      </c>
      <c r="K582" s="82">
        <v>0</v>
      </c>
      <c r="L582" s="83"/>
      <c r="M582" s="29">
        <v>1400</v>
      </c>
      <c r="N582" s="82">
        <v>0</v>
      </c>
      <c r="O582" s="83"/>
      <c r="P582" s="29">
        <v>3500</v>
      </c>
      <c r="Q582" s="29">
        <f t="shared" si="155"/>
        <v>5100</v>
      </c>
      <c r="R582" s="212"/>
      <c r="S582" s="212"/>
      <c r="Z582" s="209">
        <v>0</v>
      </c>
      <c r="AA582" s="130">
        <f>D582+Z582</f>
        <v>5100</v>
      </c>
      <c r="IQ582" s="95"/>
      <c r="IR582" s="95"/>
      <c r="IS582" s="95"/>
      <c r="IT582" s="95"/>
      <c r="IU582" s="95"/>
    </row>
    <row r="583" spans="2:255" s="93" customFormat="1" ht="16.5" customHeight="1">
      <c r="B583" s="43" t="s">
        <v>66</v>
      </c>
      <c r="C583" s="32" t="s">
        <v>25</v>
      </c>
      <c r="D583" s="82">
        <f>SUM(E583:K583)</f>
        <v>0</v>
      </c>
      <c r="E583" s="82">
        <v>0</v>
      </c>
      <c r="F583" s="83"/>
      <c r="G583" s="29">
        <f>E583+F583</f>
        <v>0</v>
      </c>
      <c r="H583" s="82">
        <v>0</v>
      </c>
      <c r="I583" s="83"/>
      <c r="J583" s="29">
        <f>H583+I583</f>
        <v>0</v>
      </c>
      <c r="K583" s="82">
        <v>0</v>
      </c>
      <c r="L583" s="83"/>
      <c r="M583" s="29">
        <f>K583+L583</f>
        <v>0</v>
      </c>
      <c r="N583" s="82">
        <v>0</v>
      </c>
      <c r="O583" s="83"/>
      <c r="P583" s="29">
        <f>N583+O583</f>
        <v>0</v>
      </c>
      <c r="Q583" s="29">
        <f t="shared" si="155"/>
        <v>0</v>
      </c>
      <c r="R583" s="212"/>
      <c r="S583" s="212"/>
      <c r="Z583" s="209">
        <v>0</v>
      </c>
      <c r="AA583" s="130">
        <f>D583+Z583</f>
        <v>0</v>
      </c>
      <c r="IQ583" s="95"/>
      <c r="IR583" s="95"/>
      <c r="IS583" s="95"/>
      <c r="IT583" s="95"/>
      <c r="IU583" s="95"/>
    </row>
    <row r="584" spans="2:255" s="93" customFormat="1" ht="16.5" customHeight="1">
      <c r="B584" s="38" t="s">
        <v>67</v>
      </c>
      <c r="C584" s="32" t="s">
        <v>27</v>
      </c>
      <c r="D584" s="82">
        <f>G584+J584+M584+P584</f>
        <v>969</v>
      </c>
      <c r="E584" s="82">
        <v>19</v>
      </c>
      <c r="F584" s="83"/>
      <c r="G584" s="29">
        <v>19</v>
      </c>
      <c r="H584" s="82">
        <v>19</v>
      </c>
      <c r="I584" s="83"/>
      <c r="J584" s="29">
        <v>19</v>
      </c>
      <c r="K584" s="82">
        <v>0</v>
      </c>
      <c r="L584" s="83"/>
      <c r="M584" s="29">
        <v>266</v>
      </c>
      <c r="N584" s="82">
        <v>0</v>
      </c>
      <c r="O584" s="83"/>
      <c r="P584" s="29">
        <v>665</v>
      </c>
      <c r="Q584" s="29">
        <f t="shared" si="155"/>
        <v>969</v>
      </c>
      <c r="R584" s="212"/>
      <c r="S584" s="212"/>
      <c r="Z584" s="209">
        <v>0</v>
      </c>
      <c r="AA584" s="130">
        <f>D584+Z584</f>
        <v>969</v>
      </c>
      <c r="IQ584" s="95"/>
      <c r="IR584" s="95"/>
      <c r="IS584" s="95"/>
      <c r="IT584" s="95"/>
      <c r="IU584" s="95"/>
    </row>
    <row r="585" spans="2:255" s="93" customFormat="1" ht="16.5" customHeight="1" hidden="1">
      <c r="B585" s="38"/>
      <c r="C585" s="19"/>
      <c r="D585" s="82"/>
      <c r="E585" s="82"/>
      <c r="F585" s="83"/>
      <c r="G585" s="29">
        <f>E585+F585</f>
        <v>0</v>
      </c>
      <c r="H585" s="82"/>
      <c r="I585" s="83"/>
      <c r="J585" s="29">
        <f>H585+I585</f>
        <v>0</v>
      </c>
      <c r="K585" s="82"/>
      <c r="L585" s="83"/>
      <c r="M585" s="29">
        <f>K585+L585</f>
        <v>0</v>
      </c>
      <c r="N585" s="82"/>
      <c r="O585" s="83"/>
      <c r="P585" s="29">
        <f>N585+O585</f>
        <v>0</v>
      </c>
      <c r="Q585" s="29">
        <f t="shared" si="155"/>
        <v>0</v>
      </c>
      <c r="R585" s="212"/>
      <c r="S585" s="212"/>
      <c r="Z585" s="216"/>
      <c r="AA585" s="216"/>
      <c r="IQ585" s="95"/>
      <c r="IR585" s="95"/>
      <c r="IS585" s="95"/>
      <c r="IT585" s="95"/>
      <c r="IU585" s="95"/>
    </row>
    <row r="586" spans="2:255" s="93" customFormat="1" ht="16.5" customHeight="1" hidden="1">
      <c r="B586" s="39"/>
      <c r="C586" s="28"/>
      <c r="D586" s="101">
        <f>SUM(D587:D589)</f>
        <v>6069</v>
      </c>
      <c r="E586" s="101">
        <f>SUM(E587:E589)</f>
        <v>119</v>
      </c>
      <c r="F586" s="102"/>
      <c r="G586" s="29">
        <f>G587+G589</f>
        <v>119</v>
      </c>
      <c r="H586" s="101">
        <f>SUM(H587:H589)</f>
        <v>119</v>
      </c>
      <c r="I586" s="102"/>
      <c r="J586" s="29">
        <f>H586+I586</f>
        <v>119</v>
      </c>
      <c r="K586" s="101">
        <f>SUM(K587:K589)</f>
        <v>0</v>
      </c>
      <c r="L586" s="102"/>
      <c r="M586" s="29">
        <f>M587+M589</f>
        <v>1666</v>
      </c>
      <c r="N586" s="29">
        <f aca="true" t="shared" si="158" ref="N586:O589">L586+M586</f>
        <v>1666</v>
      </c>
      <c r="O586" s="29">
        <f t="shared" si="158"/>
        <v>3332</v>
      </c>
      <c r="P586" s="29">
        <f>P587+P589</f>
        <v>4165</v>
      </c>
      <c r="Q586" s="29">
        <f t="shared" si="155"/>
        <v>6069</v>
      </c>
      <c r="R586" s="212"/>
      <c r="S586" s="212"/>
      <c r="Z586" s="216"/>
      <c r="AA586" s="216"/>
      <c r="IQ586" s="95"/>
      <c r="IR586" s="95"/>
      <c r="IS586" s="95"/>
      <c r="IT586" s="95"/>
      <c r="IU586" s="95"/>
    </row>
    <row r="587" spans="2:255" s="93" customFormat="1" ht="16.5" customHeight="1" hidden="1">
      <c r="B587" s="38" t="s">
        <v>68</v>
      </c>
      <c r="C587" s="65"/>
      <c r="D587" s="82">
        <f>G587+J587+M587+P587</f>
        <v>5100</v>
      </c>
      <c r="E587" s="82">
        <v>100</v>
      </c>
      <c r="F587" s="83"/>
      <c r="G587" s="29">
        <f>G582</f>
        <v>100</v>
      </c>
      <c r="H587" s="82">
        <v>100</v>
      </c>
      <c r="I587" s="83"/>
      <c r="J587" s="29">
        <f>J582</f>
        <v>100</v>
      </c>
      <c r="K587" s="82">
        <v>0</v>
      </c>
      <c r="L587" s="83"/>
      <c r="M587" s="29">
        <f>M582</f>
        <v>1400</v>
      </c>
      <c r="N587" s="29">
        <f t="shared" si="158"/>
        <v>1400</v>
      </c>
      <c r="O587" s="29">
        <f t="shared" si="158"/>
        <v>2800</v>
      </c>
      <c r="P587" s="29">
        <f>P582</f>
        <v>3500</v>
      </c>
      <c r="Q587" s="29">
        <f t="shared" si="155"/>
        <v>5100</v>
      </c>
      <c r="R587" s="212"/>
      <c r="S587" s="212"/>
      <c r="Z587" s="216"/>
      <c r="AA587" s="216"/>
      <c r="IQ587" s="95"/>
      <c r="IR587" s="95"/>
      <c r="IS587" s="95"/>
      <c r="IT587" s="95"/>
      <c r="IU587" s="95"/>
    </row>
    <row r="588" spans="2:255" s="93" customFormat="1" ht="16.5" customHeight="1" hidden="1">
      <c r="B588" s="38" t="s">
        <v>69</v>
      </c>
      <c r="C588" s="65"/>
      <c r="D588" s="82">
        <f>SUM(E588:K588)</f>
        <v>0</v>
      </c>
      <c r="E588" s="82">
        <v>0</v>
      </c>
      <c r="F588" s="83"/>
      <c r="G588" s="29">
        <f>E588+F588</f>
        <v>0</v>
      </c>
      <c r="H588" s="82">
        <v>0</v>
      </c>
      <c r="I588" s="83"/>
      <c r="J588" s="29">
        <f>H588+I588</f>
        <v>0</v>
      </c>
      <c r="K588" s="82">
        <v>0</v>
      </c>
      <c r="L588" s="83"/>
      <c r="M588" s="29">
        <f>K588+L588</f>
        <v>0</v>
      </c>
      <c r="N588" s="29">
        <f t="shared" si="158"/>
        <v>0</v>
      </c>
      <c r="O588" s="29">
        <f t="shared" si="158"/>
        <v>0</v>
      </c>
      <c r="P588" s="29">
        <f>N588+O588</f>
        <v>0</v>
      </c>
      <c r="Q588" s="29">
        <f t="shared" si="155"/>
        <v>0</v>
      </c>
      <c r="R588" s="212"/>
      <c r="S588" s="212"/>
      <c r="Z588" s="216"/>
      <c r="AA588" s="216"/>
      <c r="IQ588" s="95"/>
      <c r="IR588" s="95"/>
      <c r="IS588" s="95"/>
      <c r="IT588" s="95"/>
      <c r="IU588" s="95"/>
    </row>
    <row r="589" spans="2:255" s="93" customFormat="1" ht="16.5" customHeight="1" hidden="1">
      <c r="B589" s="38" t="s">
        <v>70</v>
      </c>
      <c r="C589" s="65"/>
      <c r="D589" s="82">
        <f>G589+J589+M589+P589</f>
        <v>969</v>
      </c>
      <c r="E589" s="82">
        <v>19</v>
      </c>
      <c r="F589" s="83"/>
      <c r="G589" s="29">
        <f>G584</f>
        <v>19</v>
      </c>
      <c r="H589" s="82">
        <v>19</v>
      </c>
      <c r="I589" s="83"/>
      <c r="J589" s="29">
        <f>J584</f>
        <v>19</v>
      </c>
      <c r="K589" s="82">
        <v>0</v>
      </c>
      <c r="L589" s="83"/>
      <c r="M589" s="29">
        <f>M584</f>
        <v>266</v>
      </c>
      <c r="N589" s="29">
        <f t="shared" si="158"/>
        <v>266</v>
      </c>
      <c r="O589" s="29">
        <f t="shared" si="158"/>
        <v>532</v>
      </c>
      <c r="P589" s="29">
        <f>P584</f>
        <v>665</v>
      </c>
      <c r="Q589" s="29">
        <f t="shared" si="155"/>
        <v>969</v>
      </c>
      <c r="R589" s="212"/>
      <c r="S589" s="212"/>
      <c r="Z589" s="216"/>
      <c r="AA589" s="216"/>
      <c r="IQ589" s="95"/>
      <c r="IR589" s="95"/>
      <c r="IS589" s="95"/>
      <c r="IT589" s="95"/>
      <c r="IU589" s="95"/>
    </row>
    <row r="590" spans="1:255" s="77" customFormat="1" ht="29.25" customHeight="1">
      <c r="A590" s="77">
        <v>58</v>
      </c>
      <c r="B590" s="78" t="s">
        <v>129</v>
      </c>
      <c r="C590" s="23" t="s">
        <v>134</v>
      </c>
      <c r="D590" s="41">
        <f>G590+J590+M590</f>
        <v>3068</v>
      </c>
      <c r="E590" s="41">
        <f>E591+E592+E593</f>
        <v>2107</v>
      </c>
      <c r="F590" s="42"/>
      <c r="G590" s="29">
        <f aca="true" t="shared" si="159" ref="G590:P590">G591+G592+G593+G594</f>
        <v>900</v>
      </c>
      <c r="H590" s="29">
        <f t="shared" si="159"/>
        <v>2107</v>
      </c>
      <c r="I590" s="29">
        <f t="shared" si="159"/>
        <v>0</v>
      </c>
      <c r="J590" s="29">
        <f t="shared" si="159"/>
        <v>1084</v>
      </c>
      <c r="K590" s="29">
        <f t="shared" si="159"/>
        <v>0</v>
      </c>
      <c r="L590" s="29">
        <f t="shared" si="159"/>
        <v>0</v>
      </c>
      <c r="M590" s="29">
        <f t="shared" si="159"/>
        <v>1084</v>
      </c>
      <c r="N590" s="29">
        <f t="shared" si="159"/>
        <v>0</v>
      </c>
      <c r="O590" s="29">
        <f t="shared" si="159"/>
        <v>0</v>
      </c>
      <c r="P590" s="29">
        <f t="shared" si="159"/>
        <v>0</v>
      </c>
      <c r="Q590" s="29">
        <f t="shared" si="155"/>
        <v>3068</v>
      </c>
      <c r="R590" s="210"/>
      <c r="S590" s="210"/>
      <c r="Z590" s="233">
        <v>0</v>
      </c>
      <c r="AA590" s="226">
        <f>D590+Z590</f>
        <v>3068</v>
      </c>
      <c r="IQ590" s="80"/>
      <c r="IR590" s="80"/>
      <c r="IS590" s="80"/>
      <c r="IT590" s="80"/>
      <c r="IU590" s="80"/>
    </row>
    <row r="591" spans="2:255" s="77" customFormat="1" ht="16.5" customHeight="1">
      <c r="B591" s="43" t="s">
        <v>44</v>
      </c>
      <c r="C591" s="81"/>
      <c r="D591" s="45">
        <f>G591+J591+M591+P591</f>
        <v>0</v>
      </c>
      <c r="E591" s="82">
        <v>677</v>
      </c>
      <c r="F591" s="83"/>
      <c r="G591" s="29">
        <v>0</v>
      </c>
      <c r="H591" s="82">
        <v>677</v>
      </c>
      <c r="I591" s="83"/>
      <c r="J591" s="29">
        <v>0</v>
      </c>
      <c r="K591" s="82">
        <v>0</v>
      </c>
      <c r="L591" s="83"/>
      <c r="M591" s="29">
        <f>K591+L591</f>
        <v>0</v>
      </c>
      <c r="N591" s="82">
        <v>0</v>
      </c>
      <c r="O591" s="83"/>
      <c r="P591" s="29">
        <f>N591+O591</f>
        <v>0</v>
      </c>
      <c r="Q591" s="29">
        <f t="shared" si="155"/>
        <v>0</v>
      </c>
      <c r="R591" s="210"/>
      <c r="S591" s="210"/>
      <c r="Z591" s="209">
        <v>0</v>
      </c>
      <c r="AA591" s="130">
        <f>D591+Z591</f>
        <v>0</v>
      </c>
      <c r="IQ591" s="80"/>
      <c r="IR591" s="80"/>
      <c r="IS591" s="80"/>
      <c r="IT591" s="80"/>
      <c r="IU591" s="80"/>
    </row>
    <row r="592" spans="2:255" s="77" customFormat="1" ht="16.5" customHeight="1">
      <c r="B592" s="43" t="s">
        <v>45</v>
      </c>
      <c r="C592" s="85"/>
      <c r="D592" s="45">
        <f>G592+J592+M592+P592</f>
        <v>0</v>
      </c>
      <c r="E592" s="82">
        <v>705</v>
      </c>
      <c r="F592" s="83"/>
      <c r="G592" s="29">
        <v>0</v>
      </c>
      <c r="H592" s="82">
        <v>705</v>
      </c>
      <c r="I592" s="83"/>
      <c r="J592" s="29">
        <v>0</v>
      </c>
      <c r="K592" s="82">
        <v>0</v>
      </c>
      <c r="L592" s="83"/>
      <c r="M592" s="29">
        <f>K592+L592</f>
        <v>0</v>
      </c>
      <c r="N592" s="82">
        <v>0</v>
      </c>
      <c r="O592" s="83"/>
      <c r="P592" s="29">
        <f>N592+O592</f>
        <v>0</v>
      </c>
      <c r="Q592" s="29">
        <f t="shared" si="155"/>
        <v>0</v>
      </c>
      <c r="R592" s="210"/>
      <c r="S592" s="210"/>
      <c r="Z592" s="209">
        <v>0</v>
      </c>
      <c r="AA592" s="130">
        <f>D592+Z592</f>
        <v>0</v>
      </c>
      <c r="IQ592" s="80"/>
      <c r="IR592" s="80"/>
      <c r="IS592" s="80"/>
      <c r="IT592" s="80"/>
      <c r="IU592" s="80"/>
    </row>
    <row r="593" spans="2:255" s="77" customFormat="1" ht="15.75" customHeight="1">
      <c r="B593" s="43" t="s">
        <v>46</v>
      </c>
      <c r="C593" s="86"/>
      <c r="D593" s="45">
        <f>G593+J593+M593+P593</f>
        <v>3068</v>
      </c>
      <c r="E593" s="82">
        <v>725</v>
      </c>
      <c r="F593" s="83"/>
      <c r="G593" s="29">
        <v>900</v>
      </c>
      <c r="H593" s="82">
        <v>725</v>
      </c>
      <c r="I593" s="83"/>
      <c r="J593" s="29">
        <v>1084</v>
      </c>
      <c r="K593" s="82">
        <v>0</v>
      </c>
      <c r="L593" s="83"/>
      <c r="M593" s="29">
        <v>1084</v>
      </c>
      <c r="N593" s="82">
        <v>0</v>
      </c>
      <c r="O593" s="83"/>
      <c r="P593" s="29">
        <f>N593+O593</f>
        <v>0</v>
      </c>
      <c r="Q593" s="29">
        <f t="shared" si="155"/>
        <v>3068</v>
      </c>
      <c r="R593" s="210"/>
      <c r="S593" s="210"/>
      <c r="Z593" s="209">
        <v>0</v>
      </c>
      <c r="AA593" s="130">
        <f>D593+Z593</f>
        <v>3068</v>
      </c>
      <c r="IQ593" s="80"/>
      <c r="IR593" s="80"/>
      <c r="IS593" s="80"/>
      <c r="IT593" s="80"/>
      <c r="IU593" s="80"/>
    </row>
    <row r="594" spans="2:255" s="77" customFormat="1" ht="16.5" customHeight="1" hidden="1">
      <c r="B594" s="38"/>
      <c r="C594" s="65"/>
      <c r="D594" s="41">
        <f>E594+H594+K594+N594</f>
        <v>0</v>
      </c>
      <c r="E594" s="82"/>
      <c r="F594" s="83"/>
      <c r="G594" s="29">
        <f>E594+F594</f>
        <v>0</v>
      </c>
      <c r="H594" s="82"/>
      <c r="I594" s="83"/>
      <c r="J594" s="29">
        <f>H594+I594</f>
        <v>0</v>
      </c>
      <c r="K594" s="82"/>
      <c r="L594" s="83"/>
      <c r="M594" s="29">
        <f>K594+L594</f>
        <v>0</v>
      </c>
      <c r="N594" s="82"/>
      <c r="O594" s="83"/>
      <c r="P594" s="29">
        <f>N594+O594</f>
        <v>0</v>
      </c>
      <c r="Q594" s="29">
        <f t="shared" si="155"/>
        <v>0</v>
      </c>
      <c r="R594" s="210"/>
      <c r="S594" s="210"/>
      <c r="Z594" s="209"/>
      <c r="AA594" s="209"/>
      <c r="IQ594" s="80"/>
      <c r="IR594" s="80"/>
      <c r="IS594" s="80"/>
      <c r="IT594" s="80"/>
      <c r="IU594" s="80"/>
    </row>
    <row r="595" spans="2:255" s="87" customFormat="1" ht="16.5" customHeight="1" hidden="1">
      <c r="B595" s="39"/>
      <c r="C595" s="28"/>
      <c r="D595" s="41">
        <f>G595+J595+M595+P595</f>
        <v>3068</v>
      </c>
      <c r="E595" s="101">
        <f>E596+E597+E598+E599</f>
        <v>2107</v>
      </c>
      <c r="F595" s="102"/>
      <c r="G595" s="29">
        <f aca="true" t="shared" si="160" ref="G595:P595">G596+G597+G598+G599</f>
        <v>900</v>
      </c>
      <c r="H595" s="29">
        <f t="shared" si="160"/>
        <v>2107</v>
      </c>
      <c r="I595" s="29">
        <f t="shared" si="160"/>
        <v>0</v>
      </c>
      <c r="J595" s="29">
        <f t="shared" si="160"/>
        <v>1084</v>
      </c>
      <c r="K595" s="29">
        <f t="shared" si="160"/>
        <v>0</v>
      </c>
      <c r="L595" s="29">
        <f t="shared" si="160"/>
        <v>0</v>
      </c>
      <c r="M595" s="29">
        <f t="shared" si="160"/>
        <v>1084</v>
      </c>
      <c r="N595" s="29">
        <f t="shared" si="160"/>
        <v>0</v>
      </c>
      <c r="O595" s="29">
        <f t="shared" si="160"/>
        <v>0</v>
      </c>
      <c r="P595" s="29">
        <f t="shared" si="160"/>
        <v>0</v>
      </c>
      <c r="Q595" s="29">
        <f t="shared" si="155"/>
        <v>3068</v>
      </c>
      <c r="R595" s="211"/>
      <c r="S595" s="211"/>
      <c r="Z595" s="223"/>
      <c r="AA595" s="223"/>
      <c r="IQ595" s="90"/>
      <c r="IR595" s="90"/>
      <c r="IS595" s="90"/>
      <c r="IT595" s="90"/>
      <c r="IU595" s="90"/>
    </row>
    <row r="596" spans="2:255" s="77" customFormat="1" ht="16.5" customHeight="1" hidden="1">
      <c r="B596" s="38" t="s">
        <v>47</v>
      </c>
      <c r="C596" s="65"/>
      <c r="D596" s="41">
        <f>G596+J596+M596+P596</f>
        <v>0</v>
      </c>
      <c r="E596" s="82">
        <f>E590-E597-E599</f>
        <v>136</v>
      </c>
      <c r="F596" s="83"/>
      <c r="G596" s="29">
        <v>0</v>
      </c>
      <c r="H596" s="82">
        <f>H590-H597-H599</f>
        <v>136</v>
      </c>
      <c r="I596" s="83"/>
      <c r="J596" s="29">
        <v>0</v>
      </c>
      <c r="K596" s="82">
        <f>K590-K597-K599</f>
        <v>0</v>
      </c>
      <c r="L596" s="83"/>
      <c r="M596" s="29">
        <f>K596+L596</f>
        <v>0</v>
      </c>
      <c r="N596" s="82">
        <f>N590-N597-N599</f>
        <v>0</v>
      </c>
      <c r="O596" s="83"/>
      <c r="P596" s="29">
        <f>N596+O596</f>
        <v>0</v>
      </c>
      <c r="Q596" s="29">
        <f t="shared" si="155"/>
        <v>0</v>
      </c>
      <c r="R596" s="210"/>
      <c r="S596" s="210"/>
      <c r="Z596" s="209"/>
      <c r="AA596" s="209"/>
      <c r="IQ596" s="80"/>
      <c r="IR596" s="80"/>
      <c r="IS596" s="80"/>
      <c r="IT596" s="80"/>
      <c r="IU596" s="80"/>
    </row>
    <row r="597" spans="2:255" s="77" customFormat="1" ht="16.5" customHeight="1" hidden="1">
      <c r="B597" s="38" t="s">
        <v>48</v>
      </c>
      <c r="C597" s="65"/>
      <c r="D597" s="41">
        <f>G597+J597+M597+P597</f>
        <v>0</v>
      </c>
      <c r="E597" s="82">
        <v>705</v>
      </c>
      <c r="F597" s="83"/>
      <c r="G597" s="29">
        <v>0</v>
      </c>
      <c r="H597" s="82">
        <v>705</v>
      </c>
      <c r="I597" s="83"/>
      <c r="J597" s="29">
        <v>0</v>
      </c>
      <c r="K597" s="82">
        <v>0</v>
      </c>
      <c r="L597" s="83"/>
      <c r="M597" s="29">
        <f>K597+L597</f>
        <v>0</v>
      </c>
      <c r="N597" s="82">
        <v>0</v>
      </c>
      <c r="O597" s="83"/>
      <c r="P597" s="29">
        <f>N597+O597</f>
        <v>0</v>
      </c>
      <c r="Q597" s="29">
        <f t="shared" si="155"/>
        <v>0</v>
      </c>
      <c r="R597" s="210"/>
      <c r="S597" s="210"/>
      <c r="Z597" s="209"/>
      <c r="AA597" s="209"/>
      <c r="IQ597" s="80"/>
      <c r="IR597" s="80"/>
      <c r="IS597" s="80"/>
      <c r="IT597" s="80"/>
      <c r="IU597" s="80"/>
    </row>
    <row r="598" spans="2:255" s="77" customFormat="1" ht="16.5" customHeight="1" hidden="1">
      <c r="B598" s="38" t="s">
        <v>49</v>
      </c>
      <c r="C598" s="65"/>
      <c r="D598" s="41">
        <f>G598+J598+M598+P598</f>
        <v>1048</v>
      </c>
      <c r="E598" s="82">
        <v>0</v>
      </c>
      <c r="F598" s="83"/>
      <c r="G598" s="29">
        <v>0</v>
      </c>
      <c r="H598" s="82">
        <v>0</v>
      </c>
      <c r="I598" s="83"/>
      <c r="J598" s="29">
        <v>1048</v>
      </c>
      <c r="K598" s="82">
        <v>0</v>
      </c>
      <c r="L598" s="83"/>
      <c r="M598" s="29">
        <f>K598+L598</f>
        <v>0</v>
      </c>
      <c r="N598" s="82">
        <v>0</v>
      </c>
      <c r="O598" s="83"/>
      <c r="P598" s="29">
        <f>N598+O598</f>
        <v>0</v>
      </c>
      <c r="Q598" s="29">
        <f aca="true" t="shared" si="161" ref="Q598:Q629">G598+J598+M598+P598</f>
        <v>1048</v>
      </c>
      <c r="R598" s="210"/>
      <c r="S598" s="210"/>
      <c r="Z598" s="209"/>
      <c r="AA598" s="209"/>
      <c r="IQ598" s="80"/>
      <c r="IR598" s="80"/>
      <c r="IS598" s="80"/>
      <c r="IT598" s="80"/>
      <c r="IU598" s="80"/>
    </row>
    <row r="599" spans="2:255" s="93" customFormat="1" ht="30" hidden="1">
      <c r="B599" s="49" t="s">
        <v>41</v>
      </c>
      <c r="C599" s="94"/>
      <c r="D599" s="41">
        <f>G599+J599+M599+P599</f>
        <v>2020</v>
      </c>
      <c r="E599" s="82">
        <f>E593+541</f>
        <v>1266</v>
      </c>
      <c r="F599" s="83"/>
      <c r="G599" s="29">
        <v>900</v>
      </c>
      <c r="H599" s="82">
        <f>H593+541</f>
        <v>1266</v>
      </c>
      <c r="I599" s="83"/>
      <c r="J599" s="29">
        <f>1084-J598</f>
        <v>36</v>
      </c>
      <c r="K599" s="82">
        <v>0</v>
      </c>
      <c r="L599" s="83"/>
      <c r="M599" s="29">
        <v>1084</v>
      </c>
      <c r="N599" s="82">
        <v>0</v>
      </c>
      <c r="O599" s="83"/>
      <c r="P599" s="29">
        <f>N599+O599</f>
        <v>0</v>
      </c>
      <c r="Q599" s="29">
        <f t="shared" si="161"/>
        <v>2020</v>
      </c>
      <c r="R599" s="212"/>
      <c r="S599" s="212">
        <v>1449</v>
      </c>
      <c r="T599" s="93" t="s">
        <v>135</v>
      </c>
      <c r="Z599" s="216"/>
      <c r="AA599" s="216"/>
      <c r="IQ599" s="95"/>
      <c r="IR599" s="95"/>
      <c r="IS599" s="95"/>
      <c r="IT599" s="95"/>
      <c r="IU599" s="95"/>
    </row>
    <row r="600" spans="2:255" s="77" customFormat="1" ht="16.5" customHeight="1" hidden="1">
      <c r="B600" s="38"/>
      <c r="C600" s="65"/>
      <c r="D600" s="41">
        <f>E600+H600+K600+N600</f>
        <v>0</v>
      </c>
      <c r="E600" s="33"/>
      <c r="F600" s="34"/>
      <c r="G600" s="29">
        <f>E600+F600</f>
        <v>0</v>
      </c>
      <c r="H600" s="33"/>
      <c r="I600" s="34"/>
      <c r="J600" s="29">
        <f>H600+I600</f>
        <v>0</v>
      </c>
      <c r="K600" s="45"/>
      <c r="L600" s="53"/>
      <c r="M600" s="29">
        <f>K600+L600</f>
        <v>0</v>
      </c>
      <c r="N600" s="130"/>
      <c r="O600" s="131"/>
      <c r="P600" s="29">
        <f>N600+O600</f>
        <v>0</v>
      </c>
      <c r="Q600" s="29">
        <f t="shared" si="161"/>
        <v>0</v>
      </c>
      <c r="R600" s="210"/>
      <c r="S600" s="215">
        <f>D599-S599</f>
        <v>571</v>
      </c>
      <c r="T600" s="77">
        <v>2810</v>
      </c>
      <c r="U600" s="77" t="s">
        <v>136</v>
      </c>
      <c r="Z600" s="209"/>
      <c r="AA600" s="209"/>
      <c r="IQ600" s="80"/>
      <c r="IR600" s="80"/>
      <c r="IS600" s="80"/>
      <c r="IT600" s="80"/>
      <c r="IU600" s="80"/>
    </row>
    <row r="601" spans="1:255" s="77" customFormat="1" ht="30" customHeight="1">
      <c r="A601" s="77">
        <v>59</v>
      </c>
      <c r="B601" s="78" t="s">
        <v>129</v>
      </c>
      <c r="C601" s="23" t="s">
        <v>137</v>
      </c>
      <c r="D601" s="41">
        <f aca="true" t="shared" si="162" ref="D601:P601">D602+D603+D604</f>
        <v>3329</v>
      </c>
      <c r="E601" s="41">
        <f t="shared" si="162"/>
        <v>2245</v>
      </c>
      <c r="F601" s="41">
        <f t="shared" si="162"/>
        <v>0</v>
      </c>
      <c r="G601" s="41">
        <f t="shared" si="162"/>
        <v>0</v>
      </c>
      <c r="H601" s="41">
        <f t="shared" si="162"/>
        <v>2245</v>
      </c>
      <c r="I601" s="41">
        <f t="shared" si="162"/>
        <v>0</v>
      </c>
      <c r="J601" s="41">
        <f t="shared" si="162"/>
        <v>906</v>
      </c>
      <c r="K601" s="41">
        <f t="shared" si="162"/>
        <v>0</v>
      </c>
      <c r="L601" s="41">
        <f t="shared" si="162"/>
        <v>0</v>
      </c>
      <c r="M601" s="41">
        <f t="shared" si="162"/>
        <v>916</v>
      </c>
      <c r="N601" s="41">
        <f t="shared" si="162"/>
        <v>0</v>
      </c>
      <c r="O601" s="41">
        <f t="shared" si="162"/>
        <v>-210</v>
      </c>
      <c r="P601" s="41">
        <f t="shared" si="162"/>
        <v>1507</v>
      </c>
      <c r="Q601" s="29">
        <f t="shared" si="161"/>
        <v>3329</v>
      </c>
      <c r="R601" s="210"/>
      <c r="S601" s="210"/>
      <c r="T601" s="98">
        <f>D595-T600</f>
        <v>258</v>
      </c>
      <c r="Z601" s="233">
        <v>0</v>
      </c>
      <c r="AA601" s="226">
        <f>D601+Z601</f>
        <v>3329</v>
      </c>
      <c r="IQ601" s="80"/>
      <c r="IR601" s="80"/>
      <c r="IS601" s="80"/>
      <c r="IT601" s="80"/>
      <c r="IU601" s="80"/>
    </row>
    <row r="602" spans="2:255" s="77" customFormat="1" ht="16.5" customHeight="1">
      <c r="B602" s="43" t="s">
        <v>35</v>
      </c>
      <c r="C602" s="81"/>
      <c r="D602" s="45">
        <f>G602+J602+M602+P602</f>
        <v>134</v>
      </c>
      <c r="E602" s="82">
        <v>647</v>
      </c>
      <c r="F602" s="83"/>
      <c r="G602" s="29">
        <v>0</v>
      </c>
      <c r="H602" s="82">
        <v>647</v>
      </c>
      <c r="I602" s="83"/>
      <c r="J602" s="29">
        <v>44</v>
      </c>
      <c r="K602" s="82"/>
      <c r="L602" s="83"/>
      <c r="M602" s="29">
        <v>44</v>
      </c>
      <c r="N602" s="82"/>
      <c r="O602" s="83">
        <v>0</v>
      </c>
      <c r="P602" s="29">
        <v>46</v>
      </c>
      <c r="Q602" s="29">
        <f t="shared" si="161"/>
        <v>134</v>
      </c>
      <c r="R602" s="210"/>
      <c r="S602" s="210"/>
      <c r="Z602" s="209">
        <v>0</v>
      </c>
      <c r="AA602" s="130">
        <f>D602+Z602</f>
        <v>134</v>
      </c>
      <c r="IQ602" s="80"/>
      <c r="IR602" s="80"/>
      <c r="IS602" s="80"/>
      <c r="IT602" s="80"/>
      <c r="IU602" s="80"/>
    </row>
    <row r="603" spans="2:255" s="77" customFormat="1" ht="16.5" customHeight="1">
      <c r="B603" s="43" t="s">
        <v>36</v>
      </c>
      <c r="C603" s="85"/>
      <c r="D603" s="45">
        <f>G603+J603+M603+P603</f>
        <v>756</v>
      </c>
      <c r="E603" s="82">
        <v>675</v>
      </c>
      <c r="F603" s="83"/>
      <c r="G603" s="29">
        <v>0</v>
      </c>
      <c r="H603" s="82">
        <v>675</v>
      </c>
      <c r="I603" s="83"/>
      <c r="J603" s="29">
        <v>252</v>
      </c>
      <c r="K603" s="82"/>
      <c r="L603" s="83"/>
      <c r="M603" s="29">
        <v>252</v>
      </c>
      <c r="N603" s="82"/>
      <c r="O603" s="83">
        <v>-210</v>
      </c>
      <c r="P603" s="29">
        <v>252</v>
      </c>
      <c r="Q603" s="29">
        <f t="shared" si="161"/>
        <v>756</v>
      </c>
      <c r="R603" s="210"/>
      <c r="S603" s="210"/>
      <c r="Z603" s="209">
        <v>0</v>
      </c>
      <c r="AA603" s="130">
        <f>D603+Z603</f>
        <v>756</v>
      </c>
      <c r="IQ603" s="80"/>
      <c r="IR603" s="80"/>
      <c r="IS603" s="80"/>
      <c r="IT603" s="80"/>
      <c r="IU603" s="80"/>
    </row>
    <row r="604" spans="2:255" s="77" customFormat="1" ht="15.75" customHeight="1">
      <c r="B604" s="43" t="s">
        <v>37</v>
      </c>
      <c r="C604" s="86"/>
      <c r="D604" s="45">
        <f>G604+J604+M604+P604</f>
        <v>2439</v>
      </c>
      <c r="E604" s="82">
        <v>923</v>
      </c>
      <c r="F604" s="83"/>
      <c r="G604" s="29">
        <v>0</v>
      </c>
      <c r="H604" s="82">
        <v>923</v>
      </c>
      <c r="I604" s="83"/>
      <c r="J604" s="29">
        <v>610</v>
      </c>
      <c r="K604" s="82"/>
      <c r="L604" s="83"/>
      <c r="M604" s="29">
        <v>620</v>
      </c>
      <c r="N604" s="82"/>
      <c r="O604" s="83"/>
      <c r="P604" s="29">
        <v>1209</v>
      </c>
      <c r="Q604" s="29">
        <f t="shared" si="161"/>
        <v>2439</v>
      </c>
      <c r="R604" s="210"/>
      <c r="S604" s="210"/>
      <c r="Z604" s="209">
        <v>0</v>
      </c>
      <c r="AA604" s="130">
        <f>D604+Z604</f>
        <v>2439</v>
      </c>
      <c r="IQ604" s="80"/>
      <c r="IR604" s="80"/>
      <c r="IS604" s="80"/>
      <c r="IT604" s="80"/>
      <c r="IU604" s="80"/>
    </row>
    <row r="605" spans="2:255" s="77" customFormat="1" ht="16.5" customHeight="1" hidden="1">
      <c r="B605" s="38"/>
      <c r="C605" s="65"/>
      <c r="D605" s="41">
        <f>E605+H605+K605+N605</f>
        <v>0</v>
      </c>
      <c r="E605" s="82"/>
      <c r="F605" s="83"/>
      <c r="G605" s="29">
        <f>E605+F605</f>
        <v>0</v>
      </c>
      <c r="H605" s="82"/>
      <c r="I605" s="83"/>
      <c r="J605" s="29">
        <f>H605+I605</f>
        <v>0</v>
      </c>
      <c r="K605" s="82"/>
      <c r="L605" s="83"/>
      <c r="M605" s="29">
        <f>K605+L605</f>
        <v>0</v>
      </c>
      <c r="N605" s="82"/>
      <c r="O605" s="83"/>
      <c r="P605" s="29">
        <f>N605+O605</f>
        <v>0</v>
      </c>
      <c r="Q605" s="29">
        <f t="shared" si="161"/>
        <v>0</v>
      </c>
      <c r="R605" s="210"/>
      <c r="S605" s="210"/>
      <c r="Z605" s="209"/>
      <c r="AA605" s="209"/>
      <c r="IQ605" s="80"/>
      <c r="IR605" s="80"/>
      <c r="IS605" s="80"/>
      <c r="IT605" s="80"/>
      <c r="IU605" s="80"/>
    </row>
    <row r="606" spans="2:255" s="87" customFormat="1" ht="16.5" customHeight="1" hidden="1">
      <c r="B606" s="39"/>
      <c r="C606" s="28"/>
      <c r="D606" s="41">
        <f aca="true" t="shared" si="163" ref="D606:P606">D607+D608+D609+D610</f>
        <v>3329</v>
      </c>
      <c r="E606" s="41">
        <f t="shared" si="163"/>
        <v>2245</v>
      </c>
      <c r="F606" s="41">
        <f t="shared" si="163"/>
        <v>0</v>
      </c>
      <c r="G606" s="41">
        <f t="shared" si="163"/>
        <v>0</v>
      </c>
      <c r="H606" s="41">
        <f t="shared" si="163"/>
        <v>2245</v>
      </c>
      <c r="I606" s="41">
        <f t="shared" si="163"/>
        <v>0</v>
      </c>
      <c r="J606" s="41">
        <f t="shared" si="163"/>
        <v>906</v>
      </c>
      <c r="K606" s="41">
        <f t="shared" si="163"/>
        <v>0</v>
      </c>
      <c r="L606" s="41">
        <f t="shared" si="163"/>
        <v>0</v>
      </c>
      <c r="M606" s="41">
        <f t="shared" si="163"/>
        <v>916</v>
      </c>
      <c r="N606" s="41">
        <f t="shared" si="163"/>
        <v>0</v>
      </c>
      <c r="O606" s="41">
        <f t="shared" si="163"/>
        <v>0</v>
      </c>
      <c r="P606" s="41">
        <f t="shared" si="163"/>
        <v>1507</v>
      </c>
      <c r="Q606" s="29">
        <f t="shared" si="161"/>
        <v>3329</v>
      </c>
      <c r="R606" s="211"/>
      <c r="S606" s="211"/>
      <c r="Z606" s="223"/>
      <c r="AA606" s="223"/>
      <c r="IQ606" s="90"/>
      <c r="IR606" s="90"/>
      <c r="IS606" s="90"/>
      <c r="IT606" s="90"/>
      <c r="IU606" s="90"/>
    </row>
    <row r="607" spans="2:255" s="77" customFormat="1" ht="16.5" customHeight="1" hidden="1">
      <c r="B607" s="38" t="s">
        <v>38</v>
      </c>
      <c r="C607" s="65"/>
      <c r="D607" s="41">
        <f aca="true" t="shared" si="164" ref="D607:D614">G607+J607+M607+P607</f>
        <v>134</v>
      </c>
      <c r="E607" s="82">
        <v>129</v>
      </c>
      <c r="F607" s="83"/>
      <c r="G607" s="29">
        <v>0</v>
      </c>
      <c r="H607" s="82">
        <v>129</v>
      </c>
      <c r="I607" s="83"/>
      <c r="J607" s="29">
        <v>44</v>
      </c>
      <c r="K607" s="82"/>
      <c r="L607" s="83"/>
      <c r="M607" s="29">
        <v>44</v>
      </c>
      <c r="N607" s="82"/>
      <c r="O607" s="83"/>
      <c r="P607" s="29">
        <v>46</v>
      </c>
      <c r="Q607" s="29">
        <f t="shared" si="161"/>
        <v>134</v>
      </c>
      <c r="R607" s="210"/>
      <c r="S607" s="210"/>
      <c r="Z607" s="209"/>
      <c r="AA607" s="209"/>
      <c r="IQ607" s="80"/>
      <c r="IR607" s="80"/>
      <c r="IS607" s="80"/>
      <c r="IT607" s="80"/>
      <c r="IU607" s="80"/>
    </row>
    <row r="608" spans="2:255" s="77" customFormat="1" ht="16.5" customHeight="1" hidden="1">
      <c r="B608" s="38" t="s">
        <v>39</v>
      </c>
      <c r="C608" s="65"/>
      <c r="D608" s="41">
        <f t="shared" si="164"/>
        <v>678</v>
      </c>
      <c r="E608" s="82">
        <v>675</v>
      </c>
      <c r="F608" s="83"/>
      <c r="G608" s="29">
        <v>0</v>
      </c>
      <c r="H608" s="82">
        <v>675</v>
      </c>
      <c r="I608" s="83"/>
      <c r="J608" s="29">
        <f>252-78</f>
        <v>174</v>
      </c>
      <c r="K608" s="82"/>
      <c r="L608" s="83"/>
      <c r="M608" s="29">
        <v>252</v>
      </c>
      <c r="N608" s="82"/>
      <c r="O608" s="83"/>
      <c r="P608" s="29">
        <v>252</v>
      </c>
      <c r="Q608" s="29">
        <f t="shared" si="161"/>
        <v>678</v>
      </c>
      <c r="R608" s="210"/>
      <c r="S608" s="210"/>
      <c r="Z608" s="209"/>
      <c r="AA608" s="209"/>
      <c r="IQ608" s="80"/>
      <c r="IR608" s="80"/>
      <c r="IS608" s="80"/>
      <c r="IT608" s="80"/>
      <c r="IU608" s="80"/>
    </row>
    <row r="609" spans="2:255" s="77" customFormat="1" ht="16.5" customHeight="1" hidden="1">
      <c r="B609" s="38" t="s">
        <v>49</v>
      </c>
      <c r="C609" s="65"/>
      <c r="D609" s="41">
        <f t="shared" si="164"/>
        <v>688</v>
      </c>
      <c r="E609" s="82">
        <v>0</v>
      </c>
      <c r="F609" s="83"/>
      <c r="G609" s="29">
        <f>E609+F609</f>
        <v>0</v>
      </c>
      <c r="H609" s="82">
        <v>0</v>
      </c>
      <c r="I609" s="83"/>
      <c r="J609" s="29">
        <v>688</v>
      </c>
      <c r="K609" s="82"/>
      <c r="L609" s="83"/>
      <c r="M609" s="29">
        <f>K609+L609</f>
        <v>0</v>
      </c>
      <c r="N609" s="82"/>
      <c r="O609" s="83"/>
      <c r="P609" s="29">
        <f>N609+O609</f>
        <v>0</v>
      </c>
      <c r="Q609" s="29">
        <f t="shared" si="161"/>
        <v>688</v>
      </c>
      <c r="R609" s="210"/>
      <c r="S609" s="210"/>
      <c r="Z609" s="209"/>
      <c r="AA609" s="209"/>
      <c r="IQ609" s="80"/>
      <c r="IR609" s="80"/>
      <c r="IS609" s="80"/>
      <c r="IT609" s="80"/>
      <c r="IU609" s="80"/>
    </row>
    <row r="610" spans="2:255" s="93" customFormat="1" ht="30" hidden="1">
      <c r="B610" s="49" t="s">
        <v>41</v>
      </c>
      <c r="C610" s="94"/>
      <c r="D610" s="41">
        <f t="shared" si="164"/>
        <v>1829</v>
      </c>
      <c r="E610" s="82">
        <f>E604+518</f>
        <v>1441</v>
      </c>
      <c r="F610" s="83"/>
      <c r="G610" s="29">
        <v>0</v>
      </c>
      <c r="H610" s="82">
        <f>H604+518</f>
        <v>1441</v>
      </c>
      <c r="I610" s="83"/>
      <c r="J610" s="29">
        <f>610-610</f>
        <v>0</v>
      </c>
      <c r="K610" s="82"/>
      <c r="L610" s="83"/>
      <c r="M610" s="29">
        <v>620</v>
      </c>
      <c r="N610" s="82"/>
      <c r="O610" s="83"/>
      <c r="P610" s="29">
        <v>1209</v>
      </c>
      <c r="Q610" s="29">
        <f t="shared" si="161"/>
        <v>1829</v>
      </c>
      <c r="R610" s="212"/>
      <c r="S610" s="212"/>
      <c r="Z610" s="216"/>
      <c r="AA610" s="216"/>
      <c r="IQ610" s="95"/>
      <c r="IR610" s="95"/>
      <c r="IS610" s="95"/>
      <c r="IT610" s="95"/>
      <c r="IU610" s="95"/>
    </row>
    <row r="611" spans="1:255" s="93" customFormat="1" ht="30" customHeight="1">
      <c r="A611" s="93">
        <v>60</v>
      </c>
      <c r="B611" s="78" t="s">
        <v>129</v>
      </c>
      <c r="C611" s="23" t="s">
        <v>138</v>
      </c>
      <c r="D611" s="41">
        <f t="shared" si="164"/>
        <v>5252</v>
      </c>
      <c r="E611" s="41">
        <f>E612+E613+E614</f>
        <v>2245</v>
      </c>
      <c r="F611" s="42"/>
      <c r="G611" s="29">
        <f aca="true" t="shared" si="165" ref="G611:P611">G612+G613+G614</f>
        <v>1127</v>
      </c>
      <c r="H611" s="29">
        <f t="shared" si="165"/>
        <v>2245</v>
      </c>
      <c r="I611" s="29">
        <f t="shared" si="165"/>
        <v>0</v>
      </c>
      <c r="J611" s="29">
        <f t="shared" si="165"/>
        <v>2625</v>
      </c>
      <c r="K611" s="29">
        <f t="shared" si="165"/>
        <v>0</v>
      </c>
      <c r="L611" s="29">
        <f t="shared" si="165"/>
        <v>0</v>
      </c>
      <c r="M611" s="29">
        <f t="shared" si="165"/>
        <v>1500</v>
      </c>
      <c r="N611" s="29">
        <f t="shared" si="165"/>
        <v>0</v>
      </c>
      <c r="O611" s="29">
        <f t="shared" si="165"/>
        <v>-210</v>
      </c>
      <c r="P611" s="29">
        <f t="shared" si="165"/>
        <v>0</v>
      </c>
      <c r="Q611" s="29">
        <f t="shared" si="161"/>
        <v>5252</v>
      </c>
      <c r="R611" s="212"/>
      <c r="S611" s="212"/>
      <c r="Z611" s="233">
        <v>0</v>
      </c>
      <c r="AA611" s="226">
        <f>D611+Z611</f>
        <v>5252</v>
      </c>
      <c r="IQ611" s="95"/>
      <c r="IR611" s="95"/>
      <c r="IS611" s="95"/>
      <c r="IT611" s="95"/>
      <c r="IU611" s="95"/>
    </row>
    <row r="612" spans="2:255" s="93" customFormat="1" ht="16.5" customHeight="1">
      <c r="B612" s="43" t="s">
        <v>35</v>
      </c>
      <c r="C612" s="81"/>
      <c r="D612" s="45">
        <f t="shared" si="164"/>
        <v>1602</v>
      </c>
      <c r="E612" s="82">
        <v>647</v>
      </c>
      <c r="F612" s="83"/>
      <c r="G612" s="29">
        <v>552</v>
      </c>
      <c r="H612" s="82">
        <v>647</v>
      </c>
      <c r="I612" s="83"/>
      <c r="J612" s="29">
        <v>1050</v>
      </c>
      <c r="K612" s="82"/>
      <c r="L612" s="83"/>
      <c r="M612" s="29">
        <v>0</v>
      </c>
      <c r="N612" s="82"/>
      <c r="O612" s="83">
        <v>0</v>
      </c>
      <c r="P612" s="29">
        <v>0</v>
      </c>
      <c r="Q612" s="29">
        <f t="shared" si="161"/>
        <v>1602</v>
      </c>
      <c r="R612" s="212"/>
      <c r="S612" s="212"/>
      <c r="Z612" s="209">
        <v>0</v>
      </c>
      <c r="AA612" s="130">
        <f>D612+Z612</f>
        <v>1602</v>
      </c>
      <c r="IQ612" s="95"/>
      <c r="IR612" s="95"/>
      <c r="IS612" s="95"/>
      <c r="IT612" s="95"/>
      <c r="IU612" s="95"/>
    </row>
    <row r="613" spans="2:255" s="93" customFormat="1" ht="16.5" customHeight="1">
      <c r="B613" s="43" t="s">
        <v>36</v>
      </c>
      <c r="C613" s="85"/>
      <c r="D613" s="45">
        <f t="shared" si="164"/>
        <v>2150</v>
      </c>
      <c r="E613" s="82">
        <v>675</v>
      </c>
      <c r="F613" s="83"/>
      <c r="G613" s="29">
        <v>575</v>
      </c>
      <c r="H613" s="82">
        <v>675</v>
      </c>
      <c r="I613" s="83"/>
      <c r="J613" s="29">
        <v>1575</v>
      </c>
      <c r="K613" s="82"/>
      <c r="L613" s="83"/>
      <c r="M613" s="29">
        <v>0</v>
      </c>
      <c r="N613" s="82"/>
      <c r="O613" s="83">
        <v>-210</v>
      </c>
      <c r="P613" s="29">
        <v>0</v>
      </c>
      <c r="Q613" s="29">
        <f t="shared" si="161"/>
        <v>2150</v>
      </c>
      <c r="R613" s="212"/>
      <c r="S613" s="212"/>
      <c r="Z613" s="209">
        <v>0</v>
      </c>
      <c r="AA613" s="130">
        <f>D613+Z613</f>
        <v>2150</v>
      </c>
      <c r="IQ613" s="95"/>
      <c r="IR613" s="95"/>
      <c r="IS613" s="95"/>
      <c r="IT613" s="95"/>
      <c r="IU613" s="95"/>
    </row>
    <row r="614" spans="2:255" s="93" customFormat="1" ht="16.5" customHeight="1">
      <c r="B614" s="43" t="s">
        <v>37</v>
      </c>
      <c r="C614" s="86"/>
      <c r="D614" s="45">
        <f t="shared" si="164"/>
        <v>1500</v>
      </c>
      <c r="E614" s="82">
        <v>923</v>
      </c>
      <c r="F614" s="83"/>
      <c r="G614" s="29">
        <v>0</v>
      </c>
      <c r="H614" s="82">
        <v>923</v>
      </c>
      <c r="I614" s="83"/>
      <c r="J614" s="29"/>
      <c r="K614" s="82"/>
      <c r="L614" s="83"/>
      <c r="M614" s="29">
        <v>1500</v>
      </c>
      <c r="N614" s="82"/>
      <c r="O614" s="83"/>
      <c r="P614" s="29">
        <v>0</v>
      </c>
      <c r="Q614" s="29">
        <f t="shared" si="161"/>
        <v>1500</v>
      </c>
      <c r="R614" s="212"/>
      <c r="S614" s="212"/>
      <c r="Z614" s="209">
        <v>0</v>
      </c>
      <c r="AA614" s="130">
        <f>D614+Z614</f>
        <v>1500</v>
      </c>
      <c r="IQ614" s="95"/>
      <c r="IR614" s="95"/>
      <c r="IS614" s="95"/>
      <c r="IT614" s="95"/>
      <c r="IU614" s="95"/>
    </row>
    <row r="615" spans="2:255" s="93" customFormat="1" ht="16.5" customHeight="1" hidden="1">
      <c r="B615" s="38"/>
      <c r="C615" s="65"/>
      <c r="D615" s="41">
        <f>E615+H615+K615+N615</f>
        <v>0</v>
      </c>
      <c r="E615" s="82"/>
      <c r="F615" s="83"/>
      <c r="G615" s="29">
        <f>E615+F615</f>
        <v>0</v>
      </c>
      <c r="H615" s="82"/>
      <c r="I615" s="83"/>
      <c r="J615" s="29">
        <f>H615+I615</f>
        <v>0</v>
      </c>
      <c r="K615" s="82"/>
      <c r="L615" s="83"/>
      <c r="M615" s="29">
        <f>K615+L615</f>
        <v>0</v>
      </c>
      <c r="N615" s="82"/>
      <c r="O615" s="83"/>
      <c r="P615" s="29">
        <f>N615+O615</f>
        <v>0</v>
      </c>
      <c r="Q615" s="29">
        <f t="shared" si="161"/>
        <v>0</v>
      </c>
      <c r="R615" s="212"/>
      <c r="S615" s="212"/>
      <c r="Z615" s="216"/>
      <c r="AA615" s="216"/>
      <c r="IQ615" s="95"/>
      <c r="IR615" s="95"/>
      <c r="IS615" s="95"/>
      <c r="IT615" s="95"/>
      <c r="IU615" s="95"/>
    </row>
    <row r="616" spans="2:255" s="93" customFormat="1" ht="16.5" customHeight="1" hidden="1">
      <c r="B616" s="39"/>
      <c r="C616" s="28"/>
      <c r="D616" s="45">
        <f aca="true" t="shared" si="166" ref="D616:L616">D617+D618+D619+D620</f>
        <v>5252</v>
      </c>
      <c r="E616" s="45">
        <f t="shared" si="166"/>
        <v>2245</v>
      </c>
      <c r="F616" s="45">
        <f t="shared" si="166"/>
        <v>0</v>
      </c>
      <c r="G616" s="45">
        <f t="shared" si="166"/>
        <v>1127</v>
      </c>
      <c r="H616" s="45">
        <f t="shared" si="166"/>
        <v>2245</v>
      </c>
      <c r="I616" s="45">
        <f t="shared" si="166"/>
        <v>0</v>
      </c>
      <c r="J616" s="45">
        <f t="shared" si="166"/>
        <v>2625</v>
      </c>
      <c r="K616" s="45">
        <f t="shared" si="166"/>
        <v>0</v>
      </c>
      <c r="L616" s="45">
        <f t="shared" si="166"/>
        <v>0</v>
      </c>
      <c r="M616" s="45">
        <v>0</v>
      </c>
      <c r="N616" s="45">
        <f>N617+N618+N619+N620</f>
        <v>0</v>
      </c>
      <c r="O616" s="45">
        <f>O617+O618+O619+O620</f>
        <v>0</v>
      </c>
      <c r="P616" s="45">
        <v>0</v>
      </c>
      <c r="Q616" s="29">
        <f t="shared" si="161"/>
        <v>3752</v>
      </c>
      <c r="R616" s="212"/>
      <c r="S616" s="212"/>
      <c r="Z616" s="216"/>
      <c r="AA616" s="216"/>
      <c r="IQ616" s="95"/>
      <c r="IR616" s="95"/>
      <c r="IS616" s="95"/>
      <c r="IT616" s="95"/>
      <c r="IU616" s="95"/>
    </row>
    <row r="617" spans="2:255" s="93" customFormat="1" ht="16.5" customHeight="1" hidden="1">
      <c r="B617" s="38" t="s">
        <v>38</v>
      </c>
      <c r="C617" s="65"/>
      <c r="D617" s="45">
        <f>G617+J617+M617+P617</f>
        <v>337</v>
      </c>
      <c r="E617" s="45">
        <v>129</v>
      </c>
      <c r="F617" s="53"/>
      <c r="G617" s="33">
        <v>101</v>
      </c>
      <c r="H617" s="45">
        <v>129</v>
      </c>
      <c r="I617" s="53"/>
      <c r="J617" s="33">
        <v>236</v>
      </c>
      <c r="K617" s="45"/>
      <c r="L617" s="53"/>
      <c r="M617" s="33"/>
      <c r="N617" s="45"/>
      <c r="O617" s="53"/>
      <c r="P617" s="33">
        <v>0</v>
      </c>
      <c r="Q617" s="29">
        <f t="shared" si="161"/>
        <v>337</v>
      </c>
      <c r="R617" s="212"/>
      <c r="S617" s="212"/>
      <c r="Z617" s="216"/>
      <c r="AA617" s="216"/>
      <c r="IQ617" s="95"/>
      <c r="IR617" s="95"/>
      <c r="IS617" s="95"/>
      <c r="IT617" s="95"/>
      <c r="IU617" s="95"/>
    </row>
    <row r="618" spans="2:255" s="93" customFormat="1" ht="16.5" customHeight="1" hidden="1">
      <c r="B618" s="38" t="s">
        <v>39</v>
      </c>
      <c r="C618" s="65"/>
      <c r="D618" s="45">
        <f>G618+J618+M618+P618</f>
        <v>1914</v>
      </c>
      <c r="E618" s="45">
        <v>675</v>
      </c>
      <c r="F618" s="53"/>
      <c r="G618" s="33">
        <v>575</v>
      </c>
      <c r="H618" s="45">
        <v>675</v>
      </c>
      <c r="I618" s="53"/>
      <c r="J618" s="33">
        <v>1339</v>
      </c>
      <c r="K618" s="45"/>
      <c r="L618" s="53"/>
      <c r="M618" s="33">
        <v>0</v>
      </c>
      <c r="N618" s="45"/>
      <c r="O618" s="53"/>
      <c r="P618" s="33">
        <v>0</v>
      </c>
      <c r="Q618" s="29">
        <f t="shared" si="161"/>
        <v>1914</v>
      </c>
      <c r="R618" s="212"/>
      <c r="S618" s="212"/>
      <c r="Z618" s="216"/>
      <c r="AA618" s="216"/>
      <c r="IQ618" s="95"/>
      <c r="IR618" s="95"/>
      <c r="IS618" s="95"/>
      <c r="IT618" s="95"/>
      <c r="IU618" s="95"/>
    </row>
    <row r="619" spans="2:255" s="93" customFormat="1" ht="16.5" customHeight="1" hidden="1">
      <c r="B619" s="38" t="s">
        <v>49</v>
      </c>
      <c r="C619" s="65"/>
      <c r="D619" s="45">
        <f>G619+J619+M619+P619</f>
        <v>486</v>
      </c>
      <c r="E619" s="45">
        <v>0</v>
      </c>
      <c r="F619" s="53"/>
      <c r="G619" s="33">
        <f>E619+F619</f>
        <v>0</v>
      </c>
      <c r="H619" s="45">
        <v>0</v>
      </c>
      <c r="I619" s="53"/>
      <c r="J619" s="33">
        <v>486</v>
      </c>
      <c r="K619" s="45"/>
      <c r="L619" s="53"/>
      <c r="M619" s="33">
        <f>K619+L619</f>
        <v>0</v>
      </c>
      <c r="N619" s="45"/>
      <c r="O619" s="53"/>
      <c r="P619" s="33">
        <f>N619+O619</f>
        <v>0</v>
      </c>
      <c r="Q619" s="29">
        <f t="shared" si="161"/>
        <v>486</v>
      </c>
      <c r="R619" s="212"/>
      <c r="S619" s="212"/>
      <c r="Z619" s="216"/>
      <c r="AA619" s="216"/>
      <c r="IQ619" s="95"/>
      <c r="IR619" s="95"/>
      <c r="IS619" s="95"/>
      <c r="IT619" s="95"/>
      <c r="IU619" s="95"/>
    </row>
    <row r="620" spans="2:255" s="93" customFormat="1" ht="27.75" customHeight="1" hidden="1">
      <c r="B620" s="49" t="s">
        <v>41</v>
      </c>
      <c r="C620" s="94"/>
      <c r="D620" s="45">
        <f>G620+J620+M620+P620</f>
        <v>2515</v>
      </c>
      <c r="E620" s="45">
        <f>E614+518</f>
        <v>1441</v>
      </c>
      <c r="F620" s="53"/>
      <c r="G620" s="33">
        <v>451</v>
      </c>
      <c r="H620" s="45">
        <f>H614+518</f>
        <v>1441</v>
      </c>
      <c r="I620" s="53"/>
      <c r="J620" s="33">
        <f>1050-486</f>
        <v>564</v>
      </c>
      <c r="K620" s="45"/>
      <c r="L620" s="53"/>
      <c r="M620" s="33">
        <v>1500</v>
      </c>
      <c r="N620" s="45"/>
      <c r="O620" s="53"/>
      <c r="P620" s="33">
        <v>0</v>
      </c>
      <c r="Q620" s="29">
        <f t="shared" si="161"/>
        <v>2515</v>
      </c>
      <c r="R620" s="212"/>
      <c r="S620" s="212"/>
      <c r="Z620" s="216"/>
      <c r="AA620" s="216"/>
      <c r="IQ620" s="95"/>
      <c r="IR620" s="95"/>
      <c r="IS620" s="95"/>
      <c r="IT620" s="95"/>
      <c r="IU620" s="95"/>
    </row>
    <row r="621" spans="1:255" s="93" customFormat="1" ht="30" customHeight="1">
      <c r="A621" s="93">
        <v>61</v>
      </c>
      <c r="B621" s="78" t="s">
        <v>129</v>
      </c>
      <c r="C621" s="23" t="s">
        <v>139</v>
      </c>
      <c r="D621" s="41">
        <f>D622+D623+D624</f>
        <v>100</v>
      </c>
      <c r="E621" s="41">
        <f>E622+E623+E624</f>
        <v>2696</v>
      </c>
      <c r="F621" s="42"/>
      <c r="G621" s="29">
        <f aca="true" t="shared" si="167" ref="G621:P621">G622+G623+G624</f>
        <v>100</v>
      </c>
      <c r="H621" s="29">
        <f t="shared" si="167"/>
        <v>2042</v>
      </c>
      <c r="I621" s="29">
        <f t="shared" si="167"/>
        <v>0</v>
      </c>
      <c r="J621" s="29">
        <f t="shared" si="167"/>
        <v>0</v>
      </c>
      <c r="K621" s="29">
        <f t="shared" si="167"/>
        <v>2042</v>
      </c>
      <c r="L621" s="29">
        <f t="shared" si="167"/>
        <v>0</v>
      </c>
      <c r="M621" s="29">
        <f t="shared" si="167"/>
        <v>0</v>
      </c>
      <c r="N621" s="29">
        <f t="shared" si="167"/>
        <v>0</v>
      </c>
      <c r="O621" s="29">
        <f t="shared" si="167"/>
        <v>0</v>
      </c>
      <c r="P621" s="29">
        <f t="shared" si="167"/>
        <v>0</v>
      </c>
      <c r="Q621" s="29">
        <f t="shared" si="161"/>
        <v>100</v>
      </c>
      <c r="R621" s="212"/>
      <c r="S621" s="212"/>
      <c r="Z621" s="233">
        <v>0</v>
      </c>
      <c r="AA621" s="226">
        <f>D621+Z621</f>
        <v>100</v>
      </c>
      <c r="IQ621" s="95"/>
      <c r="IR621" s="95"/>
      <c r="IS621" s="95"/>
      <c r="IT621" s="95"/>
      <c r="IU621" s="95"/>
    </row>
    <row r="622" spans="2:255" s="93" customFormat="1" ht="16.5" customHeight="1">
      <c r="B622" s="43" t="s">
        <v>35</v>
      </c>
      <c r="C622" s="44"/>
      <c r="D622" s="82">
        <f>G622+J622+M622+P622</f>
        <v>49</v>
      </c>
      <c r="E622" s="82">
        <v>1321</v>
      </c>
      <c r="F622" s="83"/>
      <c r="G622" s="29">
        <v>49</v>
      </c>
      <c r="H622" s="82">
        <v>0</v>
      </c>
      <c r="I622" s="83"/>
      <c r="J622" s="29">
        <f>H622+I622</f>
        <v>0</v>
      </c>
      <c r="K622" s="82">
        <v>0</v>
      </c>
      <c r="L622" s="83"/>
      <c r="M622" s="29">
        <f>K622+L622</f>
        <v>0</v>
      </c>
      <c r="N622" s="82">
        <v>0</v>
      </c>
      <c r="O622" s="83"/>
      <c r="P622" s="29">
        <f>N622+O622</f>
        <v>0</v>
      </c>
      <c r="Q622" s="29">
        <f t="shared" si="161"/>
        <v>49</v>
      </c>
      <c r="R622" s="212"/>
      <c r="S622" s="212"/>
      <c r="Z622" s="209">
        <v>0</v>
      </c>
      <c r="AA622" s="130">
        <f>D622+Z622</f>
        <v>49</v>
      </c>
      <c r="IQ622" s="95"/>
      <c r="IR622" s="95"/>
      <c r="IS622" s="95"/>
      <c r="IT622" s="95"/>
      <c r="IU622" s="95"/>
    </row>
    <row r="623" spans="2:255" s="93" customFormat="1" ht="16.5" customHeight="1">
      <c r="B623" s="43" t="s">
        <v>36</v>
      </c>
      <c r="C623" s="46"/>
      <c r="D623" s="82">
        <f>G623+J623+M623+P623</f>
        <v>51</v>
      </c>
      <c r="E623" s="82">
        <v>1375</v>
      </c>
      <c r="F623" s="83"/>
      <c r="G623" s="29">
        <v>51</v>
      </c>
      <c r="H623" s="82">
        <v>0</v>
      </c>
      <c r="I623" s="83"/>
      <c r="J623" s="29">
        <f>H623+I623</f>
        <v>0</v>
      </c>
      <c r="K623" s="82">
        <v>0</v>
      </c>
      <c r="L623" s="83"/>
      <c r="M623" s="29">
        <f>K623+L623</f>
        <v>0</v>
      </c>
      <c r="N623" s="82">
        <v>0</v>
      </c>
      <c r="O623" s="83"/>
      <c r="P623" s="29">
        <f>N623+O623</f>
        <v>0</v>
      </c>
      <c r="Q623" s="29">
        <f t="shared" si="161"/>
        <v>51</v>
      </c>
      <c r="R623" s="212"/>
      <c r="S623" s="212"/>
      <c r="Z623" s="209">
        <v>0</v>
      </c>
      <c r="AA623" s="130">
        <f>D623+Z623</f>
        <v>51</v>
      </c>
      <c r="IQ623" s="95"/>
      <c r="IR623" s="95"/>
      <c r="IS623" s="95"/>
      <c r="IT623" s="95"/>
      <c r="IU623" s="95"/>
    </row>
    <row r="624" spans="2:255" s="93" customFormat="1" ht="16.5" customHeight="1">
      <c r="B624" s="38" t="s">
        <v>37</v>
      </c>
      <c r="C624" s="47"/>
      <c r="D624" s="82">
        <f>G624+J624+M624+P624</f>
        <v>0</v>
      </c>
      <c r="E624" s="82">
        <v>0</v>
      </c>
      <c r="F624" s="83"/>
      <c r="G624" s="29">
        <f>E624+F624</f>
        <v>0</v>
      </c>
      <c r="H624" s="82">
        <v>2042</v>
      </c>
      <c r="I624" s="83"/>
      <c r="J624" s="29">
        <v>0</v>
      </c>
      <c r="K624" s="82">
        <v>2042</v>
      </c>
      <c r="L624" s="83"/>
      <c r="M624" s="29">
        <v>0</v>
      </c>
      <c r="N624" s="82">
        <v>0</v>
      </c>
      <c r="O624" s="83"/>
      <c r="P624" s="29">
        <f>N624+O624</f>
        <v>0</v>
      </c>
      <c r="Q624" s="29">
        <f t="shared" si="161"/>
        <v>0</v>
      </c>
      <c r="R624" s="212"/>
      <c r="S624" s="212"/>
      <c r="Z624" s="209">
        <v>0</v>
      </c>
      <c r="AA624" s="130">
        <f>D624+Z624</f>
        <v>0</v>
      </c>
      <c r="IQ624" s="95"/>
      <c r="IR624" s="95"/>
      <c r="IS624" s="95"/>
      <c r="IT624" s="95"/>
      <c r="IU624" s="95"/>
    </row>
    <row r="625" spans="2:255" s="93" customFormat="1" ht="16.5" customHeight="1" hidden="1">
      <c r="B625" s="38"/>
      <c r="C625" s="65"/>
      <c r="D625" s="82"/>
      <c r="E625" s="82"/>
      <c r="F625" s="83"/>
      <c r="G625" s="29">
        <f>E625+F625</f>
        <v>0</v>
      </c>
      <c r="H625" s="82"/>
      <c r="I625" s="83"/>
      <c r="J625" s="29">
        <f>H625+I625</f>
        <v>0</v>
      </c>
      <c r="K625" s="82"/>
      <c r="L625" s="83"/>
      <c r="M625" s="29">
        <f>K625+L625</f>
        <v>0</v>
      </c>
      <c r="N625" s="82"/>
      <c r="O625" s="83"/>
      <c r="P625" s="29">
        <f>N625+O625</f>
        <v>0</v>
      </c>
      <c r="Q625" s="29">
        <f t="shared" si="161"/>
        <v>0</v>
      </c>
      <c r="R625" s="212"/>
      <c r="S625" s="212"/>
      <c r="Z625" s="216"/>
      <c r="AA625" s="216"/>
      <c r="IQ625" s="95"/>
      <c r="IR625" s="95"/>
      <c r="IS625" s="95"/>
      <c r="IT625" s="95"/>
      <c r="IU625" s="95"/>
    </row>
    <row r="626" spans="2:255" s="93" customFormat="1" ht="16.5" customHeight="1" hidden="1">
      <c r="B626" s="39"/>
      <c r="C626" s="28"/>
      <c r="D626" s="101">
        <f>G626+J626+M626+P626</f>
        <v>2792</v>
      </c>
      <c r="E626" s="101">
        <f aca="true" t="shared" si="168" ref="E626:P626">E627+E628+E629+E630</f>
        <v>2696</v>
      </c>
      <c r="F626" s="101">
        <f t="shared" si="168"/>
        <v>0</v>
      </c>
      <c r="G626" s="101">
        <f t="shared" si="168"/>
        <v>100</v>
      </c>
      <c r="H626" s="101">
        <f t="shared" si="168"/>
        <v>2042</v>
      </c>
      <c r="I626" s="101">
        <f t="shared" si="168"/>
        <v>0</v>
      </c>
      <c r="J626" s="101">
        <f t="shared" si="168"/>
        <v>2692</v>
      </c>
      <c r="K626" s="101">
        <f t="shared" si="168"/>
        <v>2042</v>
      </c>
      <c r="L626" s="101">
        <f t="shared" si="168"/>
        <v>0</v>
      </c>
      <c r="M626" s="101">
        <f t="shared" si="168"/>
        <v>0</v>
      </c>
      <c r="N626" s="101">
        <f t="shared" si="168"/>
        <v>0</v>
      </c>
      <c r="O626" s="101">
        <f t="shared" si="168"/>
        <v>0</v>
      </c>
      <c r="P626" s="101">
        <f t="shared" si="168"/>
        <v>0</v>
      </c>
      <c r="Q626" s="29">
        <f t="shared" si="161"/>
        <v>2792</v>
      </c>
      <c r="R626" s="212"/>
      <c r="S626" s="212"/>
      <c r="Z626" s="216"/>
      <c r="AA626" s="216"/>
      <c r="IQ626" s="95"/>
      <c r="IR626" s="95"/>
      <c r="IS626" s="95"/>
      <c r="IT626" s="95"/>
      <c r="IU626" s="95"/>
    </row>
    <row r="627" spans="2:255" s="93" customFormat="1" ht="19.5" customHeight="1" hidden="1">
      <c r="B627" s="38" t="s">
        <v>38</v>
      </c>
      <c r="C627" s="65"/>
      <c r="D627" s="101">
        <f>G627+J627+M627+P627</f>
        <v>9</v>
      </c>
      <c r="E627" s="82">
        <v>243</v>
      </c>
      <c r="F627" s="83"/>
      <c r="G627" s="29">
        <v>9</v>
      </c>
      <c r="H627" s="82">
        <v>0</v>
      </c>
      <c r="I627" s="83"/>
      <c r="J627" s="29">
        <f>H627+I627</f>
        <v>0</v>
      </c>
      <c r="K627" s="82">
        <v>0</v>
      </c>
      <c r="L627" s="83"/>
      <c r="M627" s="29">
        <f>K627+L627</f>
        <v>0</v>
      </c>
      <c r="N627" s="82">
        <v>0</v>
      </c>
      <c r="O627" s="83"/>
      <c r="P627" s="29">
        <f>N627+O627</f>
        <v>0</v>
      </c>
      <c r="Q627" s="29">
        <f t="shared" si="161"/>
        <v>9</v>
      </c>
      <c r="R627" s="212"/>
      <c r="S627" s="212"/>
      <c r="Z627" s="216"/>
      <c r="AA627" s="216"/>
      <c r="IQ627" s="95"/>
      <c r="IR627" s="95"/>
      <c r="IS627" s="95"/>
      <c r="IT627" s="95"/>
      <c r="IU627" s="95"/>
    </row>
    <row r="628" spans="2:255" s="93" customFormat="1" ht="18.75" customHeight="1" hidden="1">
      <c r="B628" s="38" t="s">
        <v>39</v>
      </c>
      <c r="C628" s="65"/>
      <c r="D628" s="101">
        <f>G628+J628+M628+P628</f>
        <v>51</v>
      </c>
      <c r="E628" s="82">
        <v>1375</v>
      </c>
      <c r="F628" s="83"/>
      <c r="G628" s="29">
        <v>51</v>
      </c>
      <c r="H628" s="82">
        <v>0</v>
      </c>
      <c r="I628" s="83"/>
      <c r="J628" s="29">
        <f>H628+I628</f>
        <v>0</v>
      </c>
      <c r="K628" s="82">
        <v>0</v>
      </c>
      <c r="L628" s="83"/>
      <c r="M628" s="29">
        <f>K628+L628</f>
        <v>0</v>
      </c>
      <c r="N628" s="82">
        <v>0</v>
      </c>
      <c r="O628" s="83"/>
      <c r="P628" s="29">
        <f>N628+O628</f>
        <v>0</v>
      </c>
      <c r="Q628" s="29">
        <f t="shared" si="161"/>
        <v>51</v>
      </c>
      <c r="R628" s="212"/>
      <c r="S628" s="212"/>
      <c r="Z628" s="216"/>
      <c r="AA628" s="216"/>
      <c r="IQ628" s="95"/>
      <c r="IR628" s="95"/>
      <c r="IS628" s="95"/>
      <c r="IT628" s="95"/>
      <c r="IU628" s="95"/>
    </row>
    <row r="629" spans="2:255" s="93" customFormat="1" ht="18.75" customHeight="1" hidden="1">
      <c r="B629" s="38" t="s">
        <v>40</v>
      </c>
      <c r="C629" s="65"/>
      <c r="D629" s="101">
        <f>G629+J629+M629+P629</f>
        <v>2692</v>
      </c>
      <c r="E629" s="82">
        <v>0</v>
      </c>
      <c r="F629" s="83"/>
      <c r="G629" s="29">
        <f>E629+F629</f>
        <v>0</v>
      </c>
      <c r="H629" s="82">
        <v>50</v>
      </c>
      <c r="I629" s="83">
        <v>0</v>
      </c>
      <c r="J629" s="29">
        <v>2692</v>
      </c>
      <c r="K629" s="82">
        <v>146</v>
      </c>
      <c r="L629" s="83">
        <v>0</v>
      </c>
      <c r="M629" s="29"/>
      <c r="N629" s="82">
        <v>0</v>
      </c>
      <c r="O629" s="83"/>
      <c r="P629" s="29">
        <f>N629+O629</f>
        <v>0</v>
      </c>
      <c r="Q629" s="29">
        <f t="shared" si="161"/>
        <v>2692</v>
      </c>
      <c r="R629" s="212"/>
      <c r="S629" s="212"/>
      <c r="Z629" s="216"/>
      <c r="AA629" s="216"/>
      <c r="IQ629" s="95"/>
      <c r="IR629" s="95"/>
      <c r="IS629" s="95"/>
      <c r="IT629" s="95"/>
      <c r="IU629" s="95"/>
    </row>
    <row r="630" spans="2:255" s="93" customFormat="1" ht="26.25" customHeight="1" hidden="1">
      <c r="B630" s="49" t="s">
        <v>41</v>
      </c>
      <c r="C630" s="94"/>
      <c r="D630" s="101">
        <f>G630+J630+M630+P630</f>
        <v>40</v>
      </c>
      <c r="E630" s="82">
        <v>1078</v>
      </c>
      <c r="F630" s="83"/>
      <c r="G630" s="29">
        <v>40</v>
      </c>
      <c r="H630" s="82">
        <v>1992</v>
      </c>
      <c r="I630" s="83">
        <v>0</v>
      </c>
      <c r="J630" s="29"/>
      <c r="K630" s="82">
        <v>1896</v>
      </c>
      <c r="L630" s="83">
        <v>0</v>
      </c>
      <c r="M630" s="29"/>
      <c r="N630" s="82">
        <v>0</v>
      </c>
      <c r="O630" s="83"/>
      <c r="P630" s="29">
        <f>N630+O630</f>
        <v>0</v>
      </c>
      <c r="Q630" s="29">
        <f>G630+J630+M630+P630</f>
        <v>40</v>
      </c>
      <c r="R630" s="212"/>
      <c r="S630" s="212"/>
      <c r="Z630" s="216"/>
      <c r="AA630" s="216"/>
      <c r="IQ630" s="95"/>
      <c r="IR630" s="95"/>
      <c r="IS630" s="95"/>
      <c r="IT630" s="95"/>
      <c r="IU630" s="95"/>
    </row>
    <row r="631" spans="2:255" s="87" customFormat="1" ht="16.5" customHeight="1">
      <c r="B631" s="247" t="s">
        <v>140</v>
      </c>
      <c r="C631" s="247"/>
      <c r="D631" s="29">
        <f aca="true" t="shared" si="169" ref="D631:P631">D502+D534+D554+D563+D572+D581+D590+D601+D611+D621+D514+D524</f>
        <v>49873</v>
      </c>
      <c r="E631" s="29">
        <f t="shared" si="169"/>
        <v>14706</v>
      </c>
      <c r="F631" s="29">
        <f t="shared" si="169"/>
        <v>0</v>
      </c>
      <c r="G631" s="29">
        <f t="shared" si="169"/>
        <v>5900</v>
      </c>
      <c r="H631" s="29">
        <f t="shared" si="169"/>
        <v>11143</v>
      </c>
      <c r="I631" s="29">
        <f t="shared" si="169"/>
        <v>0</v>
      </c>
      <c r="J631" s="29">
        <f t="shared" si="169"/>
        <v>4832</v>
      </c>
      <c r="K631" s="29">
        <f t="shared" si="169"/>
        <v>11192</v>
      </c>
      <c r="L631" s="29">
        <f t="shared" si="169"/>
        <v>0</v>
      </c>
      <c r="M631" s="29">
        <f t="shared" si="169"/>
        <v>15706</v>
      </c>
      <c r="N631" s="29">
        <f t="shared" si="169"/>
        <v>0</v>
      </c>
      <c r="O631" s="29">
        <f t="shared" si="169"/>
        <v>-420</v>
      </c>
      <c r="P631" s="29">
        <f t="shared" si="169"/>
        <v>23435</v>
      </c>
      <c r="Q631" s="29">
        <f>Q502+Q490++Q480+Q534+Q554+Q563+Q572+Q581+Q590+Q601+Q611+Q621+Q514+Q524</f>
        <v>54873</v>
      </c>
      <c r="R631" s="211"/>
      <c r="S631" s="211"/>
      <c r="T631" s="87">
        <v>2859</v>
      </c>
      <c r="U631" s="99">
        <f>D631-T631</f>
        <v>47014</v>
      </c>
      <c r="Z631" s="233">
        <v>0</v>
      </c>
      <c r="AA631" s="226">
        <f>D631+Z631</f>
        <v>49873</v>
      </c>
      <c r="IQ631" s="90"/>
      <c r="IR631" s="90"/>
      <c r="IS631" s="90"/>
      <c r="IT631" s="90"/>
      <c r="IU631" s="90"/>
    </row>
    <row r="632" spans="2:255" s="87" customFormat="1" ht="16.5" customHeight="1">
      <c r="B632" s="251" t="s">
        <v>141</v>
      </c>
      <c r="C632" s="251"/>
      <c r="D632" s="29"/>
      <c r="E632" s="29"/>
      <c r="F632" s="29"/>
      <c r="G632" s="29"/>
      <c r="H632" s="29"/>
      <c r="I632" s="29"/>
      <c r="J632" s="29"/>
      <c r="K632" s="29"/>
      <c r="L632" s="29"/>
      <c r="M632" s="29"/>
      <c r="N632" s="29"/>
      <c r="O632" s="29"/>
      <c r="P632" s="29"/>
      <c r="Q632" s="29"/>
      <c r="R632" s="211"/>
      <c r="S632" s="211"/>
      <c r="U632" s="99"/>
      <c r="Z632" s="223"/>
      <c r="AA632" s="223"/>
      <c r="IQ632" s="90"/>
      <c r="IR632" s="90"/>
      <c r="IS632" s="90"/>
      <c r="IT632" s="90"/>
      <c r="IU632" s="90"/>
    </row>
    <row r="633" spans="1:255" s="87" customFormat="1" ht="28.5" customHeight="1">
      <c r="A633" s="77">
        <v>62</v>
      </c>
      <c r="B633" s="107" t="s">
        <v>142</v>
      </c>
      <c r="C633" s="28" t="s">
        <v>143</v>
      </c>
      <c r="D633" s="101">
        <f>SUM(D634:D636)</f>
        <v>16881</v>
      </c>
      <c r="E633" s="101">
        <f>SUM(E634:E636)</f>
        <v>0</v>
      </c>
      <c r="F633" s="101">
        <f>SUM(F634:F636)</f>
        <v>0</v>
      </c>
      <c r="G633" s="101">
        <f>G634+G635+G636</f>
        <v>16831</v>
      </c>
      <c r="H633" s="101">
        <f>SUM(H634:H636)</f>
        <v>50</v>
      </c>
      <c r="I633" s="101">
        <f>SUM(I634:I636)</f>
        <v>0</v>
      </c>
      <c r="J633" s="101">
        <f>J634+J635+J636</f>
        <v>50</v>
      </c>
      <c r="K633" s="101">
        <f>SUM(K634:K636)</f>
        <v>146</v>
      </c>
      <c r="L633" s="101">
        <f>SUM(L634:L636)</f>
        <v>0</v>
      </c>
      <c r="M633" s="101">
        <f>M634+M635+M636</f>
        <v>0</v>
      </c>
      <c r="N633" s="101">
        <f>SUM(N634:N636)</f>
        <v>0</v>
      </c>
      <c r="O633" s="101">
        <f>SUM(O634:O636)</f>
        <v>0</v>
      </c>
      <c r="P633" s="101">
        <f>P634+P635+P636</f>
        <v>0</v>
      </c>
      <c r="Q633" s="101">
        <f>SUM(Q634:Q636)</f>
        <v>16881</v>
      </c>
      <c r="R633" s="211"/>
      <c r="S633" s="211"/>
      <c r="U633" s="99"/>
      <c r="Z633" s="223">
        <f>SUM(Z634:Z636)</f>
        <v>-196</v>
      </c>
      <c r="AA633" s="226">
        <f>D633+Z633</f>
        <v>16685</v>
      </c>
      <c r="IQ633" s="90"/>
      <c r="IR633" s="90"/>
      <c r="IS633" s="90"/>
      <c r="IT633" s="90"/>
      <c r="IU633" s="90"/>
    </row>
    <row r="634" spans="2:255" s="93" customFormat="1" ht="16.5" customHeight="1">
      <c r="B634" s="43" t="s">
        <v>65</v>
      </c>
      <c r="C634" s="32" t="s">
        <v>23</v>
      </c>
      <c r="D634" s="82">
        <v>14185</v>
      </c>
      <c r="E634" s="82">
        <v>0</v>
      </c>
      <c r="F634" s="83"/>
      <c r="G634" s="29">
        <v>14143</v>
      </c>
      <c r="H634" s="82">
        <v>0</v>
      </c>
      <c r="I634" s="83"/>
      <c r="J634" s="29">
        <v>42</v>
      </c>
      <c r="K634" s="82">
        <v>0</v>
      </c>
      <c r="L634" s="83"/>
      <c r="M634" s="29">
        <f>K634+L634</f>
        <v>0</v>
      </c>
      <c r="N634" s="82">
        <v>0</v>
      </c>
      <c r="O634" s="83"/>
      <c r="P634" s="29">
        <f>N634+O634</f>
        <v>0</v>
      </c>
      <c r="Q634" s="29">
        <f aca="true" t="shared" si="170" ref="Q634:Q639">G634+J634+M634+P634</f>
        <v>14185</v>
      </c>
      <c r="R634" s="212"/>
      <c r="S634" s="212"/>
      <c r="Z634" s="216">
        <f>-122-42</f>
        <v>-164</v>
      </c>
      <c r="AA634" s="230">
        <f>D634+Z634</f>
        <v>14021</v>
      </c>
      <c r="IQ634" s="95"/>
      <c r="IR634" s="95"/>
      <c r="IS634" s="95"/>
      <c r="IT634" s="95"/>
      <c r="IU634" s="95"/>
    </row>
    <row r="635" spans="2:255" s="93" customFormat="1" ht="16.5" customHeight="1">
      <c r="B635" s="43" t="s">
        <v>66</v>
      </c>
      <c r="C635" s="32" t="s">
        <v>30</v>
      </c>
      <c r="D635" s="82">
        <v>0</v>
      </c>
      <c r="E635" s="82">
        <v>0</v>
      </c>
      <c r="F635" s="83"/>
      <c r="G635" s="29">
        <v>0</v>
      </c>
      <c r="H635" s="82">
        <v>50</v>
      </c>
      <c r="I635" s="83">
        <v>0</v>
      </c>
      <c r="J635" s="29">
        <v>0</v>
      </c>
      <c r="K635" s="82">
        <v>146</v>
      </c>
      <c r="L635" s="83">
        <v>0</v>
      </c>
      <c r="M635" s="29">
        <v>0</v>
      </c>
      <c r="N635" s="82">
        <v>0</v>
      </c>
      <c r="O635" s="83"/>
      <c r="P635" s="29">
        <f>N635+O635</f>
        <v>0</v>
      </c>
      <c r="Q635" s="29">
        <f t="shared" si="170"/>
        <v>0</v>
      </c>
      <c r="R635" s="212"/>
      <c r="S635" s="212"/>
      <c r="Z635" s="216">
        <v>0</v>
      </c>
      <c r="AA635" s="230">
        <f>D635+Z635</f>
        <v>0</v>
      </c>
      <c r="IQ635" s="95"/>
      <c r="IR635" s="95"/>
      <c r="IS635" s="95"/>
      <c r="IT635" s="95"/>
      <c r="IU635" s="95"/>
    </row>
    <row r="636" spans="2:255" s="93" customFormat="1" ht="13.5" customHeight="1">
      <c r="B636" s="38" t="s">
        <v>67</v>
      </c>
      <c r="C636" s="32" t="s">
        <v>27</v>
      </c>
      <c r="D636" s="82">
        <v>2696</v>
      </c>
      <c r="E636" s="82">
        <v>0</v>
      </c>
      <c r="F636" s="83"/>
      <c r="G636" s="29">
        <v>2688</v>
      </c>
      <c r="H636" s="82">
        <v>0</v>
      </c>
      <c r="I636" s="83"/>
      <c r="J636" s="29">
        <v>8</v>
      </c>
      <c r="K636" s="82">
        <v>0</v>
      </c>
      <c r="L636" s="83"/>
      <c r="M636" s="29">
        <f>K636+L636</f>
        <v>0</v>
      </c>
      <c r="N636" s="82">
        <v>0</v>
      </c>
      <c r="O636" s="83"/>
      <c r="P636" s="29">
        <f>N636+O636</f>
        <v>0</v>
      </c>
      <c r="Q636" s="29">
        <f t="shared" si="170"/>
        <v>2696</v>
      </c>
      <c r="R636" s="212"/>
      <c r="S636" s="212"/>
      <c r="Z636" s="216">
        <f>-24-8</f>
        <v>-32</v>
      </c>
      <c r="AA636" s="230">
        <f>D636+Z636</f>
        <v>2664</v>
      </c>
      <c r="IQ636" s="95"/>
      <c r="IR636" s="95"/>
      <c r="IS636" s="95"/>
      <c r="IT636" s="95"/>
      <c r="IU636" s="95"/>
    </row>
    <row r="637" spans="2:255" s="93" customFormat="1" ht="13.5" customHeight="1" hidden="1">
      <c r="B637" s="38"/>
      <c r="C637" s="19"/>
      <c r="D637" s="82"/>
      <c r="E637" s="82"/>
      <c r="F637" s="83"/>
      <c r="G637" s="29">
        <f>E637+F637</f>
        <v>0</v>
      </c>
      <c r="H637" s="82"/>
      <c r="I637" s="83"/>
      <c r="J637" s="29">
        <f>H637+I637</f>
        <v>0</v>
      </c>
      <c r="K637" s="82"/>
      <c r="L637" s="83"/>
      <c r="M637" s="29">
        <f>K637+L637</f>
        <v>0</v>
      </c>
      <c r="N637" s="82"/>
      <c r="O637" s="83"/>
      <c r="P637" s="29">
        <f>N637+O637</f>
        <v>0</v>
      </c>
      <c r="Q637" s="29">
        <f t="shared" si="170"/>
        <v>0</v>
      </c>
      <c r="R637" s="212"/>
      <c r="S637" s="212"/>
      <c r="Z637" s="216"/>
      <c r="AA637" s="216"/>
      <c r="IQ637" s="95"/>
      <c r="IR637" s="95"/>
      <c r="IS637" s="95"/>
      <c r="IT637" s="95"/>
      <c r="IU637" s="95"/>
    </row>
    <row r="638" spans="2:255" s="93" customFormat="1" ht="18" customHeight="1" hidden="1">
      <c r="B638" s="39"/>
      <c r="C638" s="28"/>
      <c r="D638" s="101">
        <f>SUM(D639:D642)</f>
        <v>16881</v>
      </c>
      <c r="E638" s="82">
        <f>SUM(E639:E642)</f>
        <v>0</v>
      </c>
      <c r="F638" s="83"/>
      <c r="G638" s="101">
        <f>SUM(G639:G642)</f>
        <v>16831</v>
      </c>
      <c r="H638" s="82">
        <f>SUM(H639:H642)</f>
        <v>50</v>
      </c>
      <c r="I638" s="83"/>
      <c r="J638" s="101">
        <f>SUM(J639:J642)</f>
        <v>50</v>
      </c>
      <c r="K638" s="82">
        <f>SUM(K639:K642)</f>
        <v>146</v>
      </c>
      <c r="L638" s="83"/>
      <c r="M638" s="101">
        <f>SUM(M639:M642)</f>
        <v>0</v>
      </c>
      <c r="N638" s="82">
        <f>SUM(N639:N642)</f>
        <v>0</v>
      </c>
      <c r="O638" s="83"/>
      <c r="P638" s="101">
        <f>SUM(P639:P642)</f>
        <v>0</v>
      </c>
      <c r="Q638" s="29">
        <f t="shared" si="170"/>
        <v>16881</v>
      </c>
      <c r="R638" s="212"/>
      <c r="S638" s="212"/>
      <c r="Z638" s="216"/>
      <c r="AA638" s="216"/>
      <c r="IQ638" s="95"/>
      <c r="IR638" s="95"/>
      <c r="IS638" s="95"/>
      <c r="IT638" s="95"/>
      <c r="IU638" s="95"/>
    </row>
    <row r="639" spans="2:255" s="93" customFormat="1" ht="17.25" customHeight="1" hidden="1">
      <c r="B639" s="38" t="s">
        <v>68</v>
      </c>
      <c r="C639" s="65"/>
      <c r="D639" s="82">
        <f>G639+J639+M639+P639</f>
        <v>14020</v>
      </c>
      <c r="E639" s="82">
        <v>0</v>
      </c>
      <c r="F639" s="83"/>
      <c r="G639" s="29">
        <v>14020</v>
      </c>
      <c r="H639" s="82">
        <v>0</v>
      </c>
      <c r="I639" s="83"/>
      <c r="J639" s="29">
        <f>H639+I639</f>
        <v>0</v>
      </c>
      <c r="K639" s="82">
        <v>0</v>
      </c>
      <c r="L639" s="83"/>
      <c r="M639" s="29">
        <f>K639+L639</f>
        <v>0</v>
      </c>
      <c r="N639" s="82">
        <v>0</v>
      </c>
      <c r="O639" s="83"/>
      <c r="P639" s="29">
        <f>N639+O639</f>
        <v>0</v>
      </c>
      <c r="Q639" s="29">
        <f t="shared" si="170"/>
        <v>14020</v>
      </c>
      <c r="R639" s="212"/>
      <c r="S639" s="212"/>
      <c r="Z639" s="216"/>
      <c r="AA639" s="216"/>
      <c r="IQ639" s="95"/>
      <c r="IR639" s="95"/>
      <c r="IS639" s="95"/>
      <c r="IT639" s="95"/>
      <c r="IU639" s="95"/>
    </row>
    <row r="640" spans="2:255" s="93" customFormat="1" ht="22.5" customHeight="1" hidden="1">
      <c r="B640" s="38" t="s">
        <v>69</v>
      </c>
      <c r="C640" s="65"/>
      <c r="D640" s="82"/>
      <c r="E640" s="82"/>
      <c r="F640" s="83"/>
      <c r="G640" s="29"/>
      <c r="H640" s="82"/>
      <c r="I640" s="83"/>
      <c r="J640" s="29"/>
      <c r="K640" s="82"/>
      <c r="L640" s="83"/>
      <c r="M640" s="29"/>
      <c r="N640" s="82"/>
      <c r="O640" s="83"/>
      <c r="P640" s="29"/>
      <c r="Q640" s="29"/>
      <c r="R640" s="212"/>
      <c r="S640" s="212"/>
      <c r="Z640" s="216"/>
      <c r="AA640" s="216"/>
      <c r="IQ640" s="95"/>
      <c r="IR640" s="95"/>
      <c r="IS640" s="95"/>
      <c r="IT640" s="95"/>
      <c r="IU640" s="95"/>
    </row>
    <row r="641" spans="2:255" s="93" customFormat="1" ht="21" customHeight="1" hidden="1">
      <c r="B641" s="38" t="s">
        <v>70</v>
      </c>
      <c r="C641" s="65"/>
      <c r="D641" s="82">
        <f>SUM(E641:K641)</f>
        <v>2665</v>
      </c>
      <c r="E641" s="82">
        <v>0</v>
      </c>
      <c r="F641" s="83"/>
      <c r="G641" s="29">
        <v>2665</v>
      </c>
      <c r="H641" s="82">
        <v>0</v>
      </c>
      <c r="I641" s="83"/>
      <c r="J641" s="29">
        <f>H641+I641</f>
        <v>0</v>
      </c>
      <c r="K641" s="82">
        <v>0</v>
      </c>
      <c r="L641" s="83"/>
      <c r="M641" s="29">
        <f>K641+L641</f>
        <v>0</v>
      </c>
      <c r="N641" s="82">
        <v>0</v>
      </c>
      <c r="O641" s="83"/>
      <c r="P641" s="29">
        <f>N641+O641</f>
        <v>0</v>
      </c>
      <c r="Q641" s="29">
        <f>G641+J641+M641+P641</f>
        <v>2665</v>
      </c>
      <c r="R641" s="212"/>
      <c r="S641" s="212"/>
      <c r="Z641" s="216"/>
      <c r="AA641" s="216"/>
      <c r="IQ641" s="95"/>
      <c r="IR641" s="95"/>
      <c r="IS641" s="95"/>
      <c r="IT641" s="95"/>
      <c r="IU641" s="95"/>
    </row>
    <row r="642" spans="2:255" s="93" customFormat="1" ht="18" customHeight="1" hidden="1">
      <c r="B642" s="137" t="s">
        <v>41</v>
      </c>
      <c r="C642" s="138"/>
      <c r="D642" s="82">
        <v>196</v>
      </c>
      <c r="E642" s="82">
        <v>0</v>
      </c>
      <c r="F642" s="83"/>
      <c r="G642" s="29">
        <v>146</v>
      </c>
      <c r="H642" s="82">
        <v>50</v>
      </c>
      <c r="I642" s="83">
        <v>0</v>
      </c>
      <c r="J642" s="29">
        <f>H642+I642</f>
        <v>50</v>
      </c>
      <c r="K642" s="82">
        <v>146</v>
      </c>
      <c r="L642" s="83">
        <v>0</v>
      </c>
      <c r="M642" s="29">
        <v>0</v>
      </c>
      <c r="N642" s="82">
        <v>0</v>
      </c>
      <c r="O642" s="83"/>
      <c r="P642" s="29">
        <f>N642+O642</f>
        <v>0</v>
      </c>
      <c r="Q642" s="29">
        <f>G642+J642+M642+P642</f>
        <v>196</v>
      </c>
      <c r="R642" s="212"/>
      <c r="S642" s="212"/>
      <c r="Z642" s="216"/>
      <c r="AA642" s="216"/>
      <c r="IQ642" s="95"/>
      <c r="IR642" s="95"/>
      <c r="IS642" s="95"/>
      <c r="IT642" s="95"/>
      <c r="IU642" s="95"/>
    </row>
    <row r="643" spans="2:255" s="93" customFormat="1" ht="16.5" customHeight="1">
      <c r="B643" s="252" t="s">
        <v>144</v>
      </c>
      <c r="C643" s="252"/>
      <c r="D643" s="101">
        <f aca="true" t="shared" si="171" ref="D643:P643">D633</f>
        <v>16881</v>
      </c>
      <c r="E643" s="101">
        <f t="shared" si="171"/>
        <v>0</v>
      </c>
      <c r="F643" s="101">
        <f t="shared" si="171"/>
        <v>0</v>
      </c>
      <c r="G643" s="101">
        <f t="shared" si="171"/>
        <v>16831</v>
      </c>
      <c r="H643" s="101">
        <f t="shared" si="171"/>
        <v>50</v>
      </c>
      <c r="I643" s="101">
        <f t="shared" si="171"/>
        <v>0</v>
      </c>
      <c r="J643" s="101">
        <f t="shared" si="171"/>
        <v>50</v>
      </c>
      <c r="K643" s="101">
        <f t="shared" si="171"/>
        <v>146</v>
      </c>
      <c r="L643" s="101">
        <f t="shared" si="171"/>
        <v>0</v>
      </c>
      <c r="M643" s="101">
        <f t="shared" si="171"/>
        <v>0</v>
      </c>
      <c r="N643" s="101">
        <f t="shared" si="171"/>
        <v>0</v>
      </c>
      <c r="O643" s="101">
        <f t="shared" si="171"/>
        <v>0</v>
      </c>
      <c r="P643" s="101">
        <f t="shared" si="171"/>
        <v>0</v>
      </c>
      <c r="Q643" s="82">
        <f>Q635</f>
        <v>0</v>
      </c>
      <c r="R643" s="212"/>
      <c r="S643" s="212"/>
      <c r="Z643" s="233">
        <v>0</v>
      </c>
      <c r="AA643" s="226">
        <f>AA633</f>
        <v>16685</v>
      </c>
      <c r="IQ643" s="95"/>
      <c r="IR643" s="95"/>
      <c r="IS643" s="95"/>
      <c r="IT643" s="95"/>
      <c r="IU643" s="95"/>
    </row>
    <row r="644" spans="2:255" s="77" customFormat="1" ht="16.5" customHeight="1">
      <c r="B644" s="246" t="s">
        <v>145</v>
      </c>
      <c r="C644" s="246"/>
      <c r="D644" s="246"/>
      <c r="E644" s="41"/>
      <c r="F644" s="42"/>
      <c r="G644" s="29">
        <f>E644+F644</f>
        <v>0</v>
      </c>
      <c r="H644" s="41"/>
      <c r="I644" s="42"/>
      <c r="J644" s="29">
        <f>H644+I644</f>
        <v>0</v>
      </c>
      <c r="K644" s="101"/>
      <c r="L644" s="102"/>
      <c r="M644" s="29">
        <f>K644+L644</f>
        <v>0</v>
      </c>
      <c r="N644" s="101"/>
      <c r="O644" s="102"/>
      <c r="P644" s="29">
        <f>N644+O644</f>
        <v>0</v>
      </c>
      <c r="Q644" s="29">
        <f aca="true" t="shared" si="172" ref="Q644:Q655">G644+J644+M644+P644</f>
        <v>0</v>
      </c>
      <c r="R644" s="210"/>
      <c r="S644" s="210"/>
      <c r="Z644" s="209"/>
      <c r="AA644" s="209"/>
      <c r="IQ644" s="80"/>
      <c r="IR644" s="80"/>
      <c r="IS644" s="80"/>
      <c r="IT644" s="80"/>
      <c r="IU644" s="80"/>
    </row>
    <row r="645" spans="1:255" s="77" customFormat="1" ht="32.25" customHeight="1">
      <c r="A645" s="77">
        <v>63</v>
      </c>
      <c r="B645" s="78" t="s">
        <v>146</v>
      </c>
      <c r="C645" s="23" t="s">
        <v>147</v>
      </c>
      <c r="D645" s="41">
        <f>D646+D647+D648</f>
        <v>1000</v>
      </c>
      <c r="E645" s="41">
        <f>E646+E647+E648</f>
        <v>0</v>
      </c>
      <c r="F645" s="42"/>
      <c r="G645" s="29">
        <f aca="true" t="shared" si="173" ref="G645:P645">G646+G647+G648</f>
        <v>0</v>
      </c>
      <c r="H645" s="29">
        <f t="shared" si="173"/>
        <v>0</v>
      </c>
      <c r="I645" s="29">
        <f t="shared" si="173"/>
        <v>0</v>
      </c>
      <c r="J645" s="29">
        <f t="shared" si="173"/>
        <v>0</v>
      </c>
      <c r="K645" s="29">
        <f t="shared" si="173"/>
        <v>0</v>
      </c>
      <c r="L645" s="29">
        <f t="shared" si="173"/>
        <v>0</v>
      </c>
      <c r="M645" s="29">
        <f t="shared" si="173"/>
        <v>1000</v>
      </c>
      <c r="N645" s="29">
        <f t="shared" si="173"/>
        <v>0</v>
      </c>
      <c r="O645" s="29">
        <f t="shared" si="173"/>
        <v>0</v>
      </c>
      <c r="P645" s="29">
        <f t="shared" si="173"/>
        <v>0</v>
      </c>
      <c r="Q645" s="29">
        <f t="shared" si="172"/>
        <v>1000</v>
      </c>
      <c r="R645" s="210"/>
      <c r="S645" s="210"/>
      <c r="Z645" s="233">
        <v>0</v>
      </c>
      <c r="AA645" s="226">
        <f>D645+Z645</f>
        <v>1000</v>
      </c>
      <c r="IQ645" s="80"/>
      <c r="IR645" s="80"/>
      <c r="IS645" s="80"/>
      <c r="IT645" s="80"/>
      <c r="IU645" s="80"/>
    </row>
    <row r="646" spans="2:255" s="77" customFormat="1" ht="16.5" customHeight="1">
      <c r="B646" s="43" t="s">
        <v>35</v>
      </c>
      <c r="C646" s="65"/>
      <c r="D646" s="82">
        <f>G646+J646+M646+P646</f>
        <v>150</v>
      </c>
      <c r="E646" s="82"/>
      <c r="F646" s="83"/>
      <c r="G646" s="29">
        <v>0</v>
      </c>
      <c r="H646" s="82"/>
      <c r="I646" s="83"/>
      <c r="J646" s="29">
        <f>H646+I646</f>
        <v>0</v>
      </c>
      <c r="K646" s="82"/>
      <c r="L646" s="83"/>
      <c r="M646" s="29">
        <v>150</v>
      </c>
      <c r="N646" s="82"/>
      <c r="O646" s="83"/>
      <c r="P646" s="29">
        <f>N646+O646</f>
        <v>0</v>
      </c>
      <c r="Q646" s="29">
        <f t="shared" si="172"/>
        <v>150</v>
      </c>
      <c r="R646" s="210"/>
      <c r="S646" s="210"/>
      <c r="Z646" s="209">
        <v>0</v>
      </c>
      <c r="AA646" s="130">
        <f>D646+Z646</f>
        <v>150</v>
      </c>
      <c r="IQ646" s="80"/>
      <c r="IR646" s="80"/>
      <c r="IS646" s="80"/>
      <c r="IT646" s="80"/>
      <c r="IU646" s="80"/>
    </row>
    <row r="647" spans="2:255" s="77" customFormat="1" ht="16.5" customHeight="1">
      <c r="B647" s="43" t="s">
        <v>36</v>
      </c>
      <c r="C647" s="65"/>
      <c r="D647" s="82">
        <f>G647+J647+M647+P647</f>
        <v>850</v>
      </c>
      <c r="E647" s="82"/>
      <c r="F647" s="83"/>
      <c r="G647" s="29">
        <v>0</v>
      </c>
      <c r="H647" s="82"/>
      <c r="I647" s="83"/>
      <c r="J647" s="29">
        <f>H647+I647</f>
        <v>0</v>
      </c>
      <c r="K647" s="82"/>
      <c r="L647" s="83"/>
      <c r="M647" s="29">
        <v>850</v>
      </c>
      <c r="N647" s="82"/>
      <c r="O647" s="83"/>
      <c r="P647" s="29">
        <f>N647+O647</f>
        <v>0</v>
      </c>
      <c r="Q647" s="29">
        <f t="shared" si="172"/>
        <v>850</v>
      </c>
      <c r="R647" s="210"/>
      <c r="S647" s="210"/>
      <c r="Z647" s="209">
        <v>0</v>
      </c>
      <c r="AA647" s="130">
        <f>D647+Z647</f>
        <v>850</v>
      </c>
      <c r="IQ647" s="80"/>
      <c r="IR647" s="80"/>
      <c r="IS647" s="80"/>
      <c r="IT647" s="80"/>
      <c r="IU647" s="80"/>
    </row>
    <row r="648" spans="2:255" s="77" customFormat="1" ht="16.5" customHeight="1">
      <c r="B648" s="43" t="s">
        <v>37</v>
      </c>
      <c r="C648" s="65"/>
      <c r="D648" s="82">
        <f>G648+J648+M648+P648</f>
        <v>0</v>
      </c>
      <c r="E648" s="82"/>
      <c r="F648" s="83"/>
      <c r="G648" s="29">
        <f>E648+F648</f>
        <v>0</v>
      </c>
      <c r="H648" s="82"/>
      <c r="I648" s="83"/>
      <c r="J648" s="29">
        <f>H648+I648</f>
        <v>0</v>
      </c>
      <c r="K648" s="82"/>
      <c r="L648" s="83"/>
      <c r="M648" s="29">
        <f>K648+L648</f>
        <v>0</v>
      </c>
      <c r="N648" s="82"/>
      <c r="O648" s="83"/>
      <c r="P648" s="29">
        <f>N648+O648</f>
        <v>0</v>
      </c>
      <c r="Q648" s="29">
        <f t="shared" si="172"/>
        <v>0</v>
      </c>
      <c r="R648" s="210"/>
      <c r="S648" s="210"/>
      <c r="Z648" s="209">
        <v>0</v>
      </c>
      <c r="AA648" s="130">
        <f>D648+Z648</f>
        <v>0</v>
      </c>
      <c r="IQ648" s="80"/>
      <c r="IR648" s="80"/>
      <c r="IS648" s="80"/>
      <c r="IT648" s="80"/>
      <c r="IU648" s="80"/>
    </row>
    <row r="649" spans="2:255" s="77" customFormat="1" ht="16.5" customHeight="1" hidden="1">
      <c r="B649" s="38"/>
      <c r="C649" s="65"/>
      <c r="D649" s="82"/>
      <c r="E649" s="82"/>
      <c r="F649" s="83"/>
      <c r="G649" s="29">
        <f>E649+F649</f>
        <v>0</v>
      </c>
      <c r="H649" s="82"/>
      <c r="I649" s="83"/>
      <c r="J649" s="29">
        <f>H649+I649</f>
        <v>0</v>
      </c>
      <c r="K649" s="82"/>
      <c r="L649" s="83"/>
      <c r="M649" s="29">
        <f>K649+L649</f>
        <v>0</v>
      </c>
      <c r="N649" s="82"/>
      <c r="O649" s="83"/>
      <c r="P649" s="29">
        <f>N649+O649</f>
        <v>0</v>
      </c>
      <c r="Q649" s="29">
        <f t="shared" si="172"/>
        <v>0</v>
      </c>
      <c r="R649" s="210"/>
      <c r="S649" s="210"/>
      <c r="Z649" s="209"/>
      <c r="AA649" s="209"/>
      <c r="IQ649" s="80"/>
      <c r="IR649" s="80"/>
      <c r="IS649" s="80"/>
      <c r="IT649" s="80"/>
      <c r="IU649" s="80"/>
    </row>
    <row r="650" spans="2:255" s="87" customFormat="1" ht="16.5" customHeight="1" hidden="1">
      <c r="B650" s="39"/>
      <c r="C650" s="28"/>
      <c r="D650" s="101">
        <f aca="true" t="shared" si="174" ref="D650:P650">D651+D652+D653+D654</f>
        <v>1000</v>
      </c>
      <c r="E650" s="101">
        <f t="shared" si="174"/>
        <v>0</v>
      </c>
      <c r="F650" s="101">
        <f t="shared" si="174"/>
        <v>0</v>
      </c>
      <c r="G650" s="101">
        <f t="shared" si="174"/>
        <v>0</v>
      </c>
      <c r="H650" s="101">
        <f t="shared" si="174"/>
        <v>0</v>
      </c>
      <c r="I650" s="101">
        <f t="shared" si="174"/>
        <v>0</v>
      </c>
      <c r="J650" s="101">
        <f t="shared" si="174"/>
        <v>0</v>
      </c>
      <c r="K650" s="101">
        <f t="shared" si="174"/>
        <v>0</v>
      </c>
      <c r="L650" s="101">
        <f t="shared" si="174"/>
        <v>0</v>
      </c>
      <c r="M650" s="101">
        <f t="shared" si="174"/>
        <v>1000</v>
      </c>
      <c r="N650" s="101">
        <f t="shared" si="174"/>
        <v>0</v>
      </c>
      <c r="O650" s="101">
        <f t="shared" si="174"/>
        <v>0</v>
      </c>
      <c r="P650" s="101">
        <f t="shared" si="174"/>
        <v>0</v>
      </c>
      <c r="Q650" s="29">
        <f t="shared" si="172"/>
        <v>1000</v>
      </c>
      <c r="R650" s="211"/>
      <c r="S650" s="211"/>
      <c r="Z650" s="223"/>
      <c r="AA650" s="223"/>
      <c r="IQ650" s="90"/>
      <c r="IR650" s="90"/>
      <c r="IS650" s="90"/>
      <c r="IT650" s="90"/>
      <c r="IU650" s="90"/>
    </row>
    <row r="651" spans="2:255" s="77" customFormat="1" ht="16.5" customHeight="1" hidden="1">
      <c r="B651" s="38" t="s">
        <v>38</v>
      </c>
      <c r="C651" s="65"/>
      <c r="D651" s="82">
        <f>G651+J651+M651+P651</f>
        <v>130</v>
      </c>
      <c r="E651" s="82"/>
      <c r="F651" s="83"/>
      <c r="G651" s="29">
        <v>0</v>
      </c>
      <c r="H651" s="82"/>
      <c r="I651" s="83"/>
      <c r="J651" s="29">
        <f>H651+I651</f>
        <v>0</v>
      </c>
      <c r="K651" s="82"/>
      <c r="L651" s="83"/>
      <c r="M651" s="29">
        <v>130</v>
      </c>
      <c r="N651" s="82"/>
      <c r="O651" s="83"/>
      <c r="P651" s="29">
        <f>N651+O651</f>
        <v>0</v>
      </c>
      <c r="Q651" s="29">
        <f t="shared" si="172"/>
        <v>130</v>
      </c>
      <c r="R651" s="210"/>
      <c r="S651" s="210"/>
      <c r="Z651" s="209"/>
      <c r="AA651" s="209"/>
      <c r="IQ651" s="80"/>
      <c r="IR651" s="80"/>
      <c r="IS651" s="80"/>
      <c r="IT651" s="80"/>
      <c r="IU651" s="80"/>
    </row>
    <row r="652" spans="2:255" s="77" customFormat="1" ht="16.5" customHeight="1" hidden="1">
      <c r="B652" s="38" t="s">
        <v>39</v>
      </c>
      <c r="C652" s="65"/>
      <c r="D652" s="82">
        <f>G652+J652+M652+P652</f>
        <v>850</v>
      </c>
      <c r="E652" s="82"/>
      <c r="F652" s="83"/>
      <c r="G652" s="29">
        <v>0</v>
      </c>
      <c r="H652" s="82"/>
      <c r="I652" s="83"/>
      <c r="J652" s="29">
        <f>H652+I652</f>
        <v>0</v>
      </c>
      <c r="K652" s="82"/>
      <c r="L652" s="83"/>
      <c r="M652" s="29">
        <v>850</v>
      </c>
      <c r="N652" s="82"/>
      <c r="O652" s="83"/>
      <c r="P652" s="29">
        <f>N652+O652</f>
        <v>0</v>
      </c>
      <c r="Q652" s="29">
        <f t="shared" si="172"/>
        <v>850</v>
      </c>
      <c r="R652" s="210"/>
      <c r="S652" s="210"/>
      <c r="Z652" s="209"/>
      <c r="AA652" s="209"/>
      <c r="IQ652" s="80"/>
      <c r="IR652" s="80"/>
      <c r="IS652" s="80"/>
      <c r="IT652" s="80"/>
      <c r="IU652" s="80"/>
    </row>
    <row r="653" spans="2:255" s="77" customFormat="1" ht="16.5" customHeight="1" hidden="1">
      <c r="B653" s="38" t="s">
        <v>40</v>
      </c>
      <c r="C653" s="65"/>
      <c r="D653" s="82">
        <f>G653+J653+M653+P653</f>
        <v>0</v>
      </c>
      <c r="E653" s="82"/>
      <c r="F653" s="83"/>
      <c r="G653" s="29">
        <f>E653+F653</f>
        <v>0</v>
      </c>
      <c r="H653" s="82"/>
      <c r="I653" s="83"/>
      <c r="J653" s="29">
        <f>H653+I653</f>
        <v>0</v>
      </c>
      <c r="K653" s="82"/>
      <c r="L653" s="83"/>
      <c r="M653" s="29">
        <f>K653+L653</f>
        <v>0</v>
      </c>
      <c r="N653" s="82"/>
      <c r="O653" s="83"/>
      <c r="P653" s="29">
        <f>N653+O653</f>
        <v>0</v>
      </c>
      <c r="Q653" s="29">
        <f t="shared" si="172"/>
        <v>0</v>
      </c>
      <c r="R653" s="210"/>
      <c r="S653" s="210"/>
      <c r="Z653" s="209"/>
      <c r="AA653" s="209"/>
      <c r="IQ653" s="80"/>
      <c r="IR653" s="80"/>
      <c r="IS653" s="80"/>
      <c r="IT653" s="80"/>
      <c r="IU653" s="80"/>
    </row>
    <row r="654" spans="2:255" s="93" customFormat="1" ht="30" hidden="1">
      <c r="B654" s="49" t="s">
        <v>41</v>
      </c>
      <c r="C654" s="94"/>
      <c r="D654" s="82">
        <f>G654+J654+M654+P654</f>
        <v>20</v>
      </c>
      <c r="E654" s="82"/>
      <c r="F654" s="83"/>
      <c r="G654" s="29">
        <v>0</v>
      </c>
      <c r="H654" s="82"/>
      <c r="I654" s="83"/>
      <c r="J654" s="29">
        <f>H654+I654</f>
        <v>0</v>
      </c>
      <c r="K654" s="82"/>
      <c r="L654" s="83"/>
      <c r="M654" s="29">
        <v>20</v>
      </c>
      <c r="N654" s="82"/>
      <c r="O654" s="83"/>
      <c r="P654" s="29">
        <f>N654+O654</f>
        <v>0</v>
      </c>
      <c r="Q654" s="29">
        <f t="shared" si="172"/>
        <v>20</v>
      </c>
      <c r="R654" s="212"/>
      <c r="S654" s="212"/>
      <c r="Z654" s="216"/>
      <c r="AA654" s="216"/>
      <c r="IQ654" s="95"/>
      <c r="IR654" s="95"/>
      <c r="IS654" s="95"/>
      <c r="IT654" s="95"/>
      <c r="IU654" s="95"/>
    </row>
    <row r="655" spans="2:255" s="87" customFormat="1" ht="20.25" customHeight="1">
      <c r="B655" s="247" t="s">
        <v>148</v>
      </c>
      <c r="C655" s="247"/>
      <c r="D655" s="29">
        <f>D645</f>
        <v>1000</v>
      </c>
      <c r="E655" s="29">
        <f>E633+E647</f>
        <v>0</v>
      </c>
      <c r="F655" s="29">
        <f>F633+F647</f>
        <v>0</v>
      </c>
      <c r="G655" s="29">
        <f aca="true" t="shared" si="175" ref="G655:P655">G645</f>
        <v>0</v>
      </c>
      <c r="H655" s="29">
        <f t="shared" si="175"/>
        <v>0</v>
      </c>
      <c r="I655" s="29">
        <f t="shared" si="175"/>
        <v>0</v>
      </c>
      <c r="J655" s="29">
        <f t="shared" si="175"/>
        <v>0</v>
      </c>
      <c r="K655" s="29">
        <f t="shared" si="175"/>
        <v>0</v>
      </c>
      <c r="L655" s="29">
        <f t="shared" si="175"/>
        <v>0</v>
      </c>
      <c r="M655" s="29">
        <f t="shared" si="175"/>
        <v>1000</v>
      </c>
      <c r="N655" s="29">
        <f t="shared" si="175"/>
        <v>0</v>
      </c>
      <c r="O655" s="29">
        <f t="shared" si="175"/>
        <v>0</v>
      </c>
      <c r="P655" s="29">
        <f t="shared" si="175"/>
        <v>0</v>
      </c>
      <c r="Q655" s="29">
        <f t="shared" si="172"/>
        <v>1000</v>
      </c>
      <c r="R655" s="211"/>
      <c r="S655" s="211"/>
      <c r="Z655" s="233">
        <v>0</v>
      </c>
      <c r="AA655" s="226">
        <f>D655+Z655</f>
        <v>1000</v>
      </c>
      <c r="IQ655" s="90"/>
      <c r="IR655" s="90"/>
      <c r="IS655" s="90"/>
      <c r="IT655" s="90"/>
      <c r="IU655" s="90"/>
    </row>
    <row r="656" spans="2:255" s="93" customFormat="1" ht="30" customHeight="1">
      <c r="B656" s="248" t="s">
        <v>149</v>
      </c>
      <c r="C656" s="248"/>
      <c r="D656" s="248"/>
      <c r="E656" s="82"/>
      <c r="F656" s="83"/>
      <c r="G656" s="29"/>
      <c r="H656" s="82"/>
      <c r="I656" s="83"/>
      <c r="J656" s="29"/>
      <c r="K656" s="82"/>
      <c r="L656" s="83"/>
      <c r="M656" s="29"/>
      <c r="N656" s="82"/>
      <c r="O656" s="83"/>
      <c r="P656" s="29"/>
      <c r="Q656" s="29"/>
      <c r="R656" s="212"/>
      <c r="S656" s="212"/>
      <c r="Z656" s="216"/>
      <c r="AA656" s="216"/>
      <c r="IQ656" s="95"/>
      <c r="IR656" s="95"/>
      <c r="IS656" s="95"/>
      <c r="IT656" s="95"/>
      <c r="IU656" s="95"/>
    </row>
    <row r="657" spans="1:255" s="77" customFormat="1" ht="32.25" customHeight="1">
      <c r="A657" s="77">
        <v>64</v>
      </c>
      <c r="B657" s="78" t="s">
        <v>150</v>
      </c>
      <c r="C657" s="23" t="s">
        <v>151</v>
      </c>
      <c r="D657" s="41">
        <f>D658+D659+D660</f>
        <v>2500</v>
      </c>
      <c r="E657" s="41">
        <f>E658+E659+E660</f>
        <v>0</v>
      </c>
      <c r="F657" s="42"/>
      <c r="G657" s="29">
        <f aca="true" t="shared" si="176" ref="G657:P657">G658+G659+G660</f>
        <v>0</v>
      </c>
      <c r="H657" s="29">
        <f t="shared" si="176"/>
        <v>0</v>
      </c>
      <c r="I657" s="29">
        <f t="shared" si="176"/>
        <v>0</v>
      </c>
      <c r="J657" s="29">
        <f t="shared" si="176"/>
        <v>0</v>
      </c>
      <c r="K657" s="29">
        <f t="shared" si="176"/>
        <v>0</v>
      </c>
      <c r="L657" s="29">
        <f t="shared" si="176"/>
        <v>0</v>
      </c>
      <c r="M657" s="29">
        <f t="shared" si="176"/>
        <v>2500</v>
      </c>
      <c r="N657" s="29">
        <f t="shared" si="176"/>
        <v>0</v>
      </c>
      <c r="O657" s="29">
        <f t="shared" si="176"/>
        <v>0</v>
      </c>
      <c r="P657" s="29">
        <f t="shared" si="176"/>
        <v>0</v>
      </c>
      <c r="Q657" s="29">
        <f aca="true" t="shared" si="177" ref="Q657:Q665">G657+J657+M657+P657</f>
        <v>2500</v>
      </c>
      <c r="R657" s="210"/>
      <c r="S657" s="210"/>
      <c r="Z657" s="233">
        <v>0</v>
      </c>
      <c r="AA657" s="226">
        <f>D657+Z657</f>
        <v>2500</v>
      </c>
      <c r="IQ657" s="80"/>
      <c r="IR657" s="80"/>
      <c r="IS657" s="80"/>
      <c r="IT657" s="80"/>
      <c r="IU657" s="80"/>
    </row>
    <row r="658" spans="2:255" s="77" customFormat="1" ht="16.5" customHeight="1">
      <c r="B658" s="43" t="s">
        <v>35</v>
      </c>
      <c r="C658" s="65"/>
      <c r="D658" s="82">
        <f>G658+J658+M658+P658</f>
        <v>0</v>
      </c>
      <c r="E658" s="82"/>
      <c r="F658" s="83"/>
      <c r="G658" s="29">
        <v>0</v>
      </c>
      <c r="H658" s="82"/>
      <c r="I658" s="83"/>
      <c r="J658" s="29">
        <f>H658+I658</f>
        <v>0</v>
      </c>
      <c r="K658" s="82"/>
      <c r="L658" s="83"/>
      <c r="M658" s="29">
        <v>0</v>
      </c>
      <c r="N658" s="82"/>
      <c r="O658" s="83"/>
      <c r="P658" s="29">
        <f>N658+O658</f>
        <v>0</v>
      </c>
      <c r="Q658" s="29">
        <f t="shared" si="177"/>
        <v>0</v>
      </c>
      <c r="R658" s="210"/>
      <c r="S658" s="210"/>
      <c r="Z658" s="209">
        <v>0</v>
      </c>
      <c r="AA658" s="130">
        <f>D658+Z658</f>
        <v>0</v>
      </c>
      <c r="IQ658" s="80"/>
      <c r="IR658" s="80"/>
      <c r="IS658" s="80"/>
      <c r="IT658" s="80"/>
      <c r="IU658" s="80"/>
    </row>
    <row r="659" spans="2:255" s="77" customFormat="1" ht="16.5" customHeight="1">
      <c r="B659" s="43" t="s">
        <v>36</v>
      </c>
      <c r="C659" s="65"/>
      <c r="D659" s="82">
        <f>G659+J659+M659+P659</f>
        <v>2500</v>
      </c>
      <c r="E659" s="82"/>
      <c r="F659" s="83"/>
      <c r="G659" s="29">
        <v>0</v>
      </c>
      <c r="H659" s="82"/>
      <c r="I659" s="83"/>
      <c r="J659" s="29">
        <f>H659+I659</f>
        <v>0</v>
      </c>
      <c r="K659" s="82"/>
      <c r="L659" s="83"/>
      <c r="M659" s="29">
        <v>2500</v>
      </c>
      <c r="N659" s="82"/>
      <c r="O659" s="83"/>
      <c r="P659" s="29">
        <f>N659+O659</f>
        <v>0</v>
      </c>
      <c r="Q659" s="29">
        <f t="shared" si="177"/>
        <v>2500</v>
      </c>
      <c r="R659" s="210"/>
      <c r="S659" s="210"/>
      <c r="Z659" s="209">
        <v>0</v>
      </c>
      <c r="AA659" s="130">
        <f>D659+Z659</f>
        <v>2500</v>
      </c>
      <c r="IQ659" s="80"/>
      <c r="IR659" s="80"/>
      <c r="IS659" s="80"/>
      <c r="IT659" s="80"/>
      <c r="IU659" s="80"/>
    </row>
    <row r="660" spans="2:255" s="77" customFormat="1" ht="16.5" customHeight="1">
      <c r="B660" s="43" t="s">
        <v>37</v>
      </c>
      <c r="C660" s="65"/>
      <c r="D660" s="82">
        <f>G660+J660+M660+P660</f>
        <v>0</v>
      </c>
      <c r="E660" s="82"/>
      <c r="F660" s="83"/>
      <c r="G660" s="29">
        <f>E660+F660</f>
        <v>0</v>
      </c>
      <c r="H660" s="82"/>
      <c r="I660" s="83"/>
      <c r="J660" s="29">
        <f>H660+I660</f>
        <v>0</v>
      </c>
      <c r="K660" s="82"/>
      <c r="L660" s="83"/>
      <c r="M660" s="29">
        <f>K660+L660</f>
        <v>0</v>
      </c>
      <c r="N660" s="82"/>
      <c r="O660" s="83"/>
      <c r="P660" s="29">
        <f>N660+O660</f>
        <v>0</v>
      </c>
      <c r="Q660" s="29">
        <f t="shared" si="177"/>
        <v>0</v>
      </c>
      <c r="R660" s="210"/>
      <c r="S660" s="210"/>
      <c r="Z660" s="209">
        <v>0</v>
      </c>
      <c r="AA660" s="130">
        <f>D660+Z660</f>
        <v>0</v>
      </c>
      <c r="IQ660" s="80"/>
      <c r="IR660" s="80"/>
      <c r="IS660" s="80"/>
      <c r="IT660" s="80"/>
      <c r="IU660" s="80"/>
    </row>
    <row r="661" spans="2:255" s="77" customFormat="1" ht="16.5" customHeight="1" hidden="1">
      <c r="B661" s="38"/>
      <c r="C661" s="65"/>
      <c r="D661" s="82"/>
      <c r="E661" s="82"/>
      <c r="F661" s="83"/>
      <c r="G661" s="29">
        <f>E661+F661</f>
        <v>0</v>
      </c>
      <c r="H661" s="82"/>
      <c r="I661" s="83"/>
      <c r="J661" s="29">
        <f>H661+I661</f>
        <v>0</v>
      </c>
      <c r="K661" s="82"/>
      <c r="L661" s="83"/>
      <c r="M661" s="29">
        <f>K661+L661</f>
        <v>0</v>
      </c>
      <c r="N661" s="82"/>
      <c r="O661" s="83"/>
      <c r="P661" s="29">
        <f>N661+O661</f>
        <v>0</v>
      </c>
      <c r="Q661" s="29">
        <f t="shared" si="177"/>
        <v>0</v>
      </c>
      <c r="R661" s="210"/>
      <c r="S661" s="210"/>
      <c r="Z661" s="209"/>
      <c r="AA661" s="209"/>
      <c r="IQ661" s="80"/>
      <c r="IR661" s="80"/>
      <c r="IS661" s="80"/>
      <c r="IT661" s="80"/>
      <c r="IU661" s="80"/>
    </row>
    <row r="662" spans="2:255" s="87" customFormat="1" ht="16.5" customHeight="1" hidden="1">
      <c r="B662" s="39"/>
      <c r="C662" s="28"/>
      <c r="D662" s="82">
        <f>G662+J662+M662+P662</f>
        <v>2500</v>
      </c>
      <c r="E662" s="101" t="e">
        <f>E663+#REF!+#REF!+E664</f>
        <v>#REF!</v>
      </c>
      <c r="F662" s="102"/>
      <c r="G662" s="29">
        <f aca="true" t="shared" si="178" ref="G662:P662">G663+G664</f>
        <v>0</v>
      </c>
      <c r="H662" s="29">
        <f t="shared" si="178"/>
        <v>0</v>
      </c>
      <c r="I662" s="29">
        <f t="shared" si="178"/>
        <v>0</v>
      </c>
      <c r="J662" s="29">
        <f t="shared" si="178"/>
        <v>0</v>
      </c>
      <c r="K662" s="29">
        <f t="shared" si="178"/>
        <v>0</v>
      </c>
      <c r="L662" s="29">
        <f t="shared" si="178"/>
        <v>0</v>
      </c>
      <c r="M662" s="29">
        <f t="shared" si="178"/>
        <v>2500</v>
      </c>
      <c r="N662" s="29">
        <f t="shared" si="178"/>
        <v>0</v>
      </c>
      <c r="O662" s="29">
        <f t="shared" si="178"/>
        <v>0</v>
      </c>
      <c r="P662" s="29">
        <f t="shared" si="178"/>
        <v>0</v>
      </c>
      <c r="Q662" s="29">
        <f t="shared" si="177"/>
        <v>2500</v>
      </c>
      <c r="R662" s="211"/>
      <c r="S662" s="211"/>
      <c r="Z662" s="223"/>
      <c r="AA662" s="223"/>
      <c r="IQ662" s="90"/>
      <c r="IR662" s="90"/>
      <c r="IS662" s="90"/>
      <c r="IT662" s="90"/>
      <c r="IU662" s="90"/>
    </row>
    <row r="663" spans="2:255" s="77" customFormat="1" ht="16.5" customHeight="1" hidden="1">
      <c r="B663" s="38" t="s">
        <v>152</v>
      </c>
      <c r="C663" s="65"/>
      <c r="D663" s="82">
        <f>G663+J663+M663+P663</f>
        <v>0</v>
      </c>
      <c r="E663" s="82"/>
      <c r="F663" s="83"/>
      <c r="G663" s="29">
        <v>0</v>
      </c>
      <c r="H663" s="82"/>
      <c r="I663" s="83"/>
      <c r="J663" s="29">
        <f>H663+I663</f>
        <v>0</v>
      </c>
      <c r="K663" s="82"/>
      <c r="L663" s="83"/>
      <c r="M663" s="29">
        <v>0</v>
      </c>
      <c r="N663" s="82"/>
      <c r="O663" s="83"/>
      <c r="P663" s="29">
        <f>N663+O663</f>
        <v>0</v>
      </c>
      <c r="Q663" s="29">
        <f t="shared" si="177"/>
        <v>0</v>
      </c>
      <c r="R663" s="210"/>
      <c r="S663" s="210"/>
      <c r="Z663" s="209"/>
      <c r="AA663" s="209"/>
      <c r="IQ663" s="80"/>
      <c r="IR663" s="80"/>
      <c r="IS663" s="80"/>
      <c r="IT663" s="80"/>
      <c r="IU663" s="80"/>
    </row>
    <row r="664" spans="2:255" s="93" customFormat="1" ht="30" hidden="1">
      <c r="B664" s="49" t="s">
        <v>41</v>
      </c>
      <c r="C664" s="94"/>
      <c r="D664" s="82">
        <f>G664+J664+M664+P664</f>
        <v>2500</v>
      </c>
      <c r="E664" s="82"/>
      <c r="F664" s="83"/>
      <c r="G664" s="29">
        <v>0</v>
      </c>
      <c r="H664" s="82"/>
      <c r="I664" s="83"/>
      <c r="J664" s="29">
        <f>H664+I664</f>
        <v>0</v>
      </c>
      <c r="K664" s="82"/>
      <c r="L664" s="83"/>
      <c r="M664" s="29">
        <v>2500</v>
      </c>
      <c r="N664" s="82"/>
      <c r="O664" s="83"/>
      <c r="P664" s="29">
        <f>N664+O664</f>
        <v>0</v>
      </c>
      <c r="Q664" s="29">
        <f t="shared" si="177"/>
        <v>2500</v>
      </c>
      <c r="R664" s="212"/>
      <c r="S664" s="212"/>
      <c r="Z664" s="216"/>
      <c r="AA664" s="216"/>
      <c r="IQ664" s="95"/>
      <c r="IR664" s="95"/>
      <c r="IS664" s="95"/>
      <c r="IT664" s="95"/>
      <c r="IU664" s="95"/>
    </row>
    <row r="665" spans="2:255" s="87" customFormat="1" ht="20.25" customHeight="1">
      <c r="B665" s="247" t="s">
        <v>153</v>
      </c>
      <c r="C665" s="247"/>
      <c r="D665" s="29">
        <f>D657</f>
        <v>2500</v>
      </c>
      <c r="E665" s="29">
        <f>E645+E657</f>
        <v>0</v>
      </c>
      <c r="F665" s="29">
        <f>F645+F657</f>
        <v>0</v>
      </c>
      <c r="G665" s="29">
        <f aca="true" t="shared" si="179" ref="G665:P665">G657</f>
        <v>0</v>
      </c>
      <c r="H665" s="29">
        <f t="shared" si="179"/>
        <v>0</v>
      </c>
      <c r="I665" s="29">
        <f t="shared" si="179"/>
        <v>0</v>
      </c>
      <c r="J665" s="29">
        <f t="shared" si="179"/>
        <v>0</v>
      </c>
      <c r="K665" s="29">
        <f t="shared" si="179"/>
        <v>0</v>
      </c>
      <c r="L665" s="29">
        <f t="shared" si="179"/>
        <v>0</v>
      </c>
      <c r="M665" s="29">
        <f t="shared" si="179"/>
        <v>2500</v>
      </c>
      <c r="N665" s="29">
        <f t="shared" si="179"/>
        <v>0</v>
      </c>
      <c r="O665" s="29">
        <f t="shared" si="179"/>
        <v>0</v>
      </c>
      <c r="P665" s="29">
        <f t="shared" si="179"/>
        <v>0</v>
      </c>
      <c r="Q665" s="29">
        <f t="shared" si="177"/>
        <v>2500</v>
      </c>
      <c r="R665" s="211"/>
      <c r="S665" s="211"/>
      <c r="Z665" s="233">
        <v>0</v>
      </c>
      <c r="AA665" s="226">
        <f>D665+Z665</f>
        <v>2500</v>
      </c>
      <c r="IQ665" s="90"/>
      <c r="IR665" s="90"/>
      <c r="IS665" s="90"/>
      <c r="IT665" s="90"/>
      <c r="IU665" s="90"/>
    </row>
    <row r="666" spans="2:255" s="77" customFormat="1" ht="17.25" customHeight="1">
      <c r="B666" s="249" t="s">
        <v>154</v>
      </c>
      <c r="C666" s="249"/>
      <c r="D666" s="249"/>
      <c r="E666" s="101"/>
      <c r="F666" s="102"/>
      <c r="G666" s="29"/>
      <c r="H666" s="101"/>
      <c r="I666" s="102"/>
      <c r="J666" s="29"/>
      <c r="K666" s="82"/>
      <c r="L666" s="83"/>
      <c r="M666" s="29"/>
      <c r="N666" s="139"/>
      <c r="O666" s="140"/>
      <c r="P666" s="29"/>
      <c r="Q666" s="29"/>
      <c r="R666" s="210"/>
      <c r="S666" s="210"/>
      <c r="Z666" s="209"/>
      <c r="AA666" s="209"/>
      <c r="IQ666" s="80"/>
      <c r="IR666" s="80"/>
      <c r="IS666" s="80"/>
      <c r="IT666" s="80"/>
      <c r="IU666" s="80"/>
    </row>
    <row r="667" spans="1:254" s="77" customFormat="1" ht="152.25" customHeight="1" hidden="1">
      <c r="A667" s="77">
        <v>52</v>
      </c>
      <c r="B667" s="23" t="s">
        <v>155</v>
      </c>
      <c r="C667" s="28" t="s">
        <v>156</v>
      </c>
      <c r="D667" s="41">
        <f>D668+D669+D670</f>
        <v>0</v>
      </c>
      <c r="E667" s="41">
        <f>E668+E669+E670</f>
        <v>21353</v>
      </c>
      <c r="F667" s="42"/>
      <c r="G667" s="41">
        <f>G668+G669+G670</f>
        <v>0</v>
      </c>
      <c r="H667" s="41">
        <f>H668+H669+H670</f>
        <v>17199</v>
      </c>
      <c r="I667" s="42"/>
      <c r="J667" s="41">
        <f>J668+J669+J670</f>
        <v>0</v>
      </c>
      <c r="K667" s="41">
        <f>K668+K669+K670</f>
        <v>5200</v>
      </c>
      <c r="L667" s="42"/>
      <c r="M667" s="41">
        <f>M668+M669+M670</f>
        <v>0</v>
      </c>
      <c r="N667" s="41">
        <f>N668+N669+N670</f>
        <v>0</v>
      </c>
      <c r="O667" s="42"/>
      <c r="P667" s="41">
        <f>P668+P669+P670</f>
        <v>0</v>
      </c>
      <c r="Q667" s="29">
        <f aca="true" t="shared" si="180" ref="Q667:Q690">G667+J667+M667+P667</f>
        <v>0</v>
      </c>
      <c r="R667" s="139"/>
      <c r="S667" s="139"/>
      <c r="T667" s="96"/>
      <c r="Z667" s="209"/>
      <c r="AA667" s="209"/>
      <c r="IP667" s="80"/>
      <c r="IQ667" s="80"/>
      <c r="IR667" s="80"/>
      <c r="IS667" s="80"/>
      <c r="IT667" s="80"/>
    </row>
    <row r="668" spans="2:255" s="77" customFormat="1" ht="17.25" customHeight="1" hidden="1">
      <c r="B668" s="43" t="s">
        <v>44</v>
      </c>
      <c r="C668" s="65"/>
      <c r="D668" s="82">
        <f>G668+J668+M668+P668</f>
        <v>0</v>
      </c>
      <c r="E668" s="82">
        <f>2250+930</f>
        <v>3180</v>
      </c>
      <c r="F668" s="83"/>
      <c r="G668" s="33">
        <v>0</v>
      </c>
      <c r="H668" s="82">
        <v>2565</v>
      </c>
      <c r="I668" s="83"/>
      <c r="J668" s="33">
        <v>0</v>
      </c>
      <c r="K668" s="82">
        <v>765</v>
      </c>
      <c r="L668" s="83"/>
      <c r="M668" s="33">
        <v>0</v>
      </c>
      <c r="N668" s="82">
        <v>0</v>
      </c>
      <c r="O668" s="83"/>
      <c r="P668" s="29">
        <f>N668+O668</f>
        <v>0</v>
      </c>
      <c r="Q668" s="29">
        <f t="shared" si="180"/>
        <v>0</v>
      </c>
      <c r="R668" s="239"/>
      <c r="S668" s="242"/>
      <c r="T668" s="240"/>
      <c r="Z668" s="209"/>
      <c r="AA668" s="209"/>
      <c r="IQ668" s="80"/>
      <c r="IR668" s="80"/>
      <c r="IS668" s="80"/>
      <c r="IT668" s="80"/>
      <c r="IU668" s="80"/>
    </row>
    <row r="669" spans="2:255" s="77" customFormat="1" ht="16.5" customHeight="1" hidden="1">
      <c r="B669" s="38" t="s">
        <v>45</v>
      </c>
      <c r="C669" s="65"/>
      <c r="D669" s="82">
        <f>G669+J669+M669+P669</f>
        <v>0</v>
      </c>
      <c r="E669" s="82">
        <f>12750+5270</f>
        <v>18020</v>
      </c>
      <c r="F669" s="83"/>
      <c r="G669" s="33">
        <v>0</v>
      </c>
      <c r="H669" s="82">
        <v>14534</v>
      </c>
      <c r="I669" s="83"/>
      <c r="J669" s="33">
        <v>0</v>
      </c>
      <c r="K669" s="82">
        <v>4335</v>
      </c>
      <c r="L669" s="83"/>
      <c r="M669" s="33">
        <v>0</v>
      </c>
      <c r="N669" s="82">
        <v>0</v>
      </c>
      <c r="O669" s="83"/>
      <c r="P669" s="29">
        <f>N669+O669</f>
        <v>0</v>
      </c>
      <c r="Q669" s="29">
        <f t="shared" si="180"/>
        <v>0</v>
      </c>
      <c r="R669" s="239"/>
      <c r="S669" s="239"/>
      <c r="T669" s="240"/>
      <c r="Z669" s="209"/>
      <c r="AA669" s="209"/>
      <c r="IQ669" s="80"/>
      <c r="IR669" s="80"/>
      <c r="IS669" s="80"/>
      <c r="IT669" s="80"/>
      <c r="IU669" s="80"/>
    </row>
    <row r="670" spans="2:255" s="77" customFormat="1" ht="15" customHeight="1" hidden="1">
      <c r="B670" s="38" t="s">
        <v>46</v>
      </c>
      <c r="C670" s="65"/>
      <c r="D670" s="82">
        <f>G670+J670+M670+P670</f>
        <v>0</v>
      </c>
      <c r="E670" s="82">
        <v>153</v>
      </c>
      <c r="F670" s="83"/>
      <c r="G670" s="33">
        <v>0</v>
      </c>
      <c r="H670" s="82">
        <v>100</v>
      </c>
      <c r="I670" s="83"/>
      <c r="J670" s="33">
        <v>0</v>
      </c>
      <c r="K670" s="82">
        <v>100</v>
      </c>
      <c r="L670" s="83"/>
      <c r="M670" s="33">
        <v>0</v>
      </c>
      <c r="N670" s="82">
        <v>0</v>
      </c>
      <c r="O670" s="83"/>
      <c r="P670" s="29">
        <f>N670+O670</f>
        <v>0</v>
      </c>
      <c r="Q670" s="29">
        <f t="shared" si="180"/>
        <v>0</v>
      </c>
      <c r="R670" s="139"/>
      <c r="S670" s="139"/>
      <c r="T670" s="96"/>
      <c r="Z670" s="209"/>
      <c r="AA670" s="209"/>
      <c r="IQ670" s="80"/>
      <c r="IR670" s="80"/>
      <c r="IS670" s="80"/>
      <c r="IT670" s="80"/>
      <c r="IU670" s="80"/>
    </row>
    <row r="671" spans="2:255" s="77" customFormat="1" ht="18.75" customHeight="1" hidden="1">
      <c r="B671" s="38"/>
      <c r="C671" s="65"/>
      <c r="D671" s="82"/>
      <c r="E671" s="82"/>
      <c r="F671" s="83"/>
      <c r="G671" s="29"/>
      <c r="H671" s="82"/>
      <c r="I671" s="83"/>
      <c r="J671" s="29"/>
      <c r="K671" s="82"/>
      <c r="L671" s="83"/>
      <c r="M671" s="29"/>
      <c r="N671" s="82"/>
      <c r="O671" s="83"/>
      <c r="P671" s="29"/>
      <c r="Q671" s="29">
        <f t="shared" si="180"/>
        <v>0</v>
      </c>
      <c r="R671" s="210"/>
      <c r="S671" s="210"/>
      <c r="Z671" s="209"/>
      <c r="AA671" s="209"/>
      <c r="IQ671" s="80"/>
      <c r="IR671" s="80"/>
      <c r="IS671" s="80"/>
      <c r="IT671" s="80"/>
      <c r="IU671" s="80"/>
    </row>
    <row r="672" spans="2:255" s="87" customFormat="1" ht="18.75" customHeight="1" hidden="1">
      <c r="B672" s="39"/>
      <c r="C672" s="28"/>
      <c r="D672" s="88">
        <f>D673+D674+D675+D677+D676</f>
        <v>7102</v>
      </c>
      <c r="E672" s="88">
        <f>E673+E674+E675+E677+E676</f>
        <v>3768</v>
      </c>
      <c r="F672" s="89"/>
      <c r="G672" s="88">
        <f>G673+G674+G675+G677+G676</f>
        <v>0</v>
      </c>
      <c r="H672" s="88">
        <f>H673+H674+H675+H677+H676</f>
        <v>34784</v>
      </c>
      <c r="I672" s="89"/>
      <c r="J672" s="88">
        <f>J673+J674+J675+J677+J676</f>
        <v>7102</v>
      </c>
      <c r="K672" s="88">
        <f>K673+K674+K675+K677+K676</f>
        <v>5200</v>
      </c>
      <c r="L672" s="89"/>
      <c r="M672" s="88">
        <f>M673+M674+M675+M677+M676</f>
        <v>0</v>
      </c>
      <c r="N672" s="88">
        <f>N673+N674+N675+N677+N676</f>
        <v>0</v>
      </c>
      <c r="O672" s="89"/>
      <c r="P672" s="88">
        <f>P673+P674+P675+P677+P676</f>
        <v>0</v>
      </c>
      <c r="Q672" s="29">
        <f t="shared" si="180"/>
        <v>7102</v>
      </c>
      <c r="R672" s="211"/>
      <c r="S672" s="211"/>
      <c r="Z672" s="223"/>
      <c r="AA672" s="223"/>
      <c r="IQ672" s="90"/>
      <c r="IR672" s="90"/>
      <c r="IS672" s="90"/>
      <c r="IT672" s="90"/>
      <c r="IU672" s="90"/>
    </row>
    <row r="673" spans="2:255" s="87" customFormat="1" ht="18.75" customHeight="1" hidden="1">
      <c r="B673" s="38" t="s">
        <v>47</v>
      </c>
      <c r="C673" s="28"/>
      <c r="D673" s="88">
        <f>G673+J673+M673+P673</f>
        <v>2886</v>
      </c>
      <c r="E673" s="82">
        <v>0</v>
      </c>
      <c r="F673" s="83"/>
      <c r="G673" s="33">
        <v>0</v>
      </c>
      <c r="H673" s="82">
        <f>(H668+H669+E668+E669)*0.13</f>
        <v>4978.87</v>
      </c>
      <c r="I673" s="83"/>
      <c r="J673" s="33">
        <v>2886</v>
      </c>
      <c r="K673" s="82">
        <f>(K668+K669)*0.13</f>
        <v>663</v>
      </c>
      <c r="L673" s="83"/>
      <c r="M673" s="33">
        <v>0</v>
      </c>
      <c r="N673" s="82">
        <f>(N668+N669)*0.13</f>
        <v>0</v>
      </c>
      <c r="O673" s="83"/>
      <c r="P673" s="33">
        <v>0</v>
      </c>
      <c r="Q673" s="29">
        <f t="shared" si="180"/>
        <v>2886</v>
      </c>
      <c r="R673" s="210"/>
      <c r="S673" s="210"/>
      <c r="T673" s="77"/>
      <c r="Z673" s="223"/>
      <c r="AA673" s="223"/>
      <c r="IQ673" s="90"/>
      <c r="IR673" s="90"/>
      <c r="IS673" s="90"/>
      <c r="IT673" s="90"/>
      <c r="IU673" s="90"/>
    </row>
    <row r="674" spans="2:255" s="87" customFormat="1" ht="18.75" customHeight="1" hidden="1">
      <c r="B674" s="38" t="s">
        <v>48</v>
      </c>
      <c r="C674" s="28"/>
      <c r="D674" s="88">
        <f>G674+J674+M674+P674</f>
        <v>0</v>
      </c>
      <c r="E674" s="82">
        <v>0</v>
      </c>
      <c r="F674" s="83"/>
      <c r="G674" s="33">
        <v>0</v>
      </c>
      <c r="H674" s="82">
        <f>(H668+H669+E668+E669)*0.85-H675-E675-E676</f>
        <v>28338.149999999998</v>
      </c>
      <c r="I674" s="83"/>
      <c r="J674" s="33">
        <v>0</v>
      </c>
      <c r="K674" s="82">
        <f>(K668+K669)*0.85</f>
        <v>4335</v>
      </c>
      <c r="L674" s="83"/>
      <c r="M674" s="33">
        <v>0</v>
      </c>
      <c r="N674" s="82">
        <f>(N668+N669)*0.85</f>
        <v>0</v>
      </c>
      <c r="O674" s="83"/>
      <c r="P674" s="33">
        <v>0</v>
      </c>
      <c r="Q674" s="29">
        <f t="shared" si="180"/>
        <v>0</v>
      </c>
      <c r="R674" s="210"/>
      <c r="S674" s="210"/>
      <c r="T674" s="77"/>
      <c r="Z674" s="223"/>
      <c r="AA674" s="223"/>
      <c r="IQ674" s="90"/>
      <c r="IR674" s="90"/>
      <c r="IS674" s="90"/>
      <c r="IT674" s="90"/>
      <c r="IU674" s="90"/>
    </row>
    <row r="675" spans="2:255" s="87" customFormat="1" ht="18.75" customHeight="1" hidden="1">
      <c r="B675" s="38" t="s">
        <v>49</v>
      </c>
      <c r="C675" s="28"/>
      <c r="D675" s="88">
        <f>G675+J675+M675+P675</f>
        <v>4216</v>
      </c>
      <c r="E675" s="141">
        <v>3191</v>
      </c>
      <c r="F675" s="142"/>
      <c r="G675" s="33">
        <v>0</v>
      </c>
      <c r="H675" s="143">
        <f>D675-E675</f>
        <v>1025</v>
      </c>
      <c r="I675" s="144"/>
      <c r="J675" s="33">
        <v>4216</v>
      </c>
      <c r="K675" s="143">
        <v>0</v>
      </c>
      <c r="L675" s="144"/>
      <c r="M675" s="33">
        <v>0</v>
      </c>
      <c r="N675" s="143">
        <v>0</v>
      </c>
      <c r="O675" s="144"/>
      <c r="P675" s="33">
        <v>0</v>
      </c>
      <c r="Q675" s="29">
        <f t="shared" si="180"/>
        <v>4216</v>
      </c>
      <c r="R675" s="210"/>
      <c r="S675" s="210"/>
      <c r="T675" s="77"/>
      <c r="Z675" s="223"/>
      <c r="AA675" s="223"/>
      <c r="IQ675" s="90"/>
      <c r="IR675" s="90"/>
      <c r="IS675" s="90"/>
      <c r="IT675" s="90"/>
      <c r="IU675" s="90"/>
    </row>
    <row r="676" spans="2:255" s="87" customFormat="1" ht="18.75" customHeight="1" hidden="1">
      <c r="B676" s="38" t="s">
        <v>57</v>
      </c>
      <c r="C676" s="28"/>
      <c r="D676" s="88">
        <f>G676+J676+M676+P676</f>
        <v>0</v>
      </c>
      <c r="E676" s="91">
        <f>D676</f>
        <v>0</v>
      </c>
      <c r="F676" s="92"/>
      <c r="G676" s="33">
        <v>0</v>
      </c>
      <c r="H676" s="91">
        <v>0</v>
      </c>
      <c r="I676" s="92"/>
      <c r="J676" s="33">
        <v>0</v>
      </c>
      <c r="K676" s="91">
        <v>0</v>
      </c>
      <c r="L676" s="92"/>
      <c r="M676" s="33">
        <v>0</v>
      </c>
      <c r="N676" s="91">
        <v>0</v>
      </c>
      <c r="O676" s="92"/>
      <c r="P676" s="33">
        <v>0</v>
      </c>
      <c r="Q676" s="29">
        <f t="shared" si="180"/>
        <v>0</v>
      </c>
      <c r="R676" s="210"/>
      <c r="S676" s="210"/>
      <c r="T676" s="77"/>
      <c r="Z676" s="223"/>
      <c r="AA676" s="223"/>
      <c r="IQ676" s="90"/>
      <c r="IR676" s="90"/>
      <c r="IS676" s="90"/>
      <c r="IT676" s="90"/>
      <c r="IU676" s="90"/>
    </row>
    <row r="677" spans="2:255" s="93" customFormat="1" ht="30" hidden="1">
      <c r="B677" s="49" t="s">
        <v>41</v>
      </c>
      <c r="C677" s="94"/>
      <c r="D677" s="88">
        <f>G677+J677+M677+P677</f>
        <v>0</v>
      </c>
      <c r="E677" s="82">
        <f>E670+(E668+E669)*2/100</f>
        <v>577</v>
      </c>
      <c r="F677" s="83"/>
      <c r="G677" s="33">
        <v>0</v>
      </c>
      <c r="H677" s="82">
        <f>H670+(H668+H669)*2/100</f>
        <v>441.98</v>
      </c>
      <c r="I677" s="83"/>
      <c r="J677" s="33">
        <v>0</v>
      </c>
      <c r="K677" s="82">
        <f>K670+(K668+K669)*2/100</f>
        <v>202</v>
      </c>
      <c r="L677" s="83"/>
      <c r="M677" s="33">
        <v>0</v>
      </c>
      <c r="N677" s="82">
        <f>N670+(N668+N669)*2/100</f>
        <v>0</v>
      </c>
      <c r="O677" s="83"/>
      <c r="P677" s="33">
        <v>0</v>
      </c>
      <c r="Q677" s="29">
        <f t="shared" si="180"/>
        <v>0</v>
      </c>
      <c r="R677" s="212"/>
      <c r="S677" s="212"/>
      <c r="Z677" s="216"/>
      <c r="AA677" s="216"/>
      <c r="IQ677" s="95"/>
      <c r="IR677" s="95"/>
      <c r="IS677" s="95"/>
      <c r="IT677" s="95"/>
      <c r="IU677" s="95"/>
    </row>
    <row r="678" spans="1:254" s="77" customFormat="1" ht="30" hidden="1">
      <c r="A678" s="77">
        <v>53</v>
      </c>
      <c r="B678" s="23" t="s">
        <v>155</v>
      </c>
      <c r="C678" s="28" t="s">
        <v>157</v>
      </c>
      <c r="D678" s="41">
        <f>D679+D680+D681</f>
        <v>0</v>
      </c>
      <c r="E678" s="41">
        <f>E679+E680+E681</f>
        <v>4850</v>
      </c>
      <c r="F678" s="42"/>
      <c r="G678" s="41">
        <f>G679+G680+G681</f>
        <v>0</v>
      </c>
      <c r="H678" s="41">
        <f>H679+H680+H681</f>
        <v>24050</v>
      </c>
      <c r="I678" s="42"/>
      <c r="J678" s="41">
        <f>J679+J680+J681</f>
        <v>0</v>
      </c>
      <c r="K678" s="41">
        <f>K679+K680+K681</f>
        <v>24018</v>
      </c>
      <c r="L678" s="42"/>
      <c r="M678" s="41">
        <f>M679+M680+M681</f>
        <v>0</v>
      </c>
      <c r="N678" s="41">
        <f>N679+N680+N681</f>
        <v>407</v>
      </c>
      <c r="O678" s="42"/>
      <c r="P678" s="41">
        <f>P679+P680+P681</f>
        <v>0</v>
      </c>
      <c r="Q678" s="29">
        <f t="shared" si="180"/>
        <v>0</v>
      </c>
      <c r="R678" s="207"/>
      <c r="S678" s="207"/>
      <c r="T678" s="79"/>
      <c r="Z678" s="209"/>
      <c r="AA678" s="209"/>
      <c r="IP678" s="80"/>
      <c r="IQ678" s="80"/>
      <c r="IR678" s="80"/>
      <c r="IS678" s="80"/>
      <c r="IT678" s="80"/>
    </row>
    <row r="679" spans="2:255" s="77" customFormat="1" ht="16.5" customHeight="1" hidden="1">
      <c r="B679" s="43" t="s">
        <v>44</v>
      </c>
      <c r="C679" s="65"/>
      <c r="D679" s="82">
        <f>G679+J679+M679+P679</f>
        <v>0</v>
      </c>
      <c r="E679" s="82">
        <v>720</v>
      </c>
      <c r="F679" s="83"/>
      <c r="G679" s="33">
        <v>0</v>
      </c>
      <c r="H679" s="82">
        <v>3600</v>
      </c>
      <c r="I679" s="83"/>
      <c r="J679" s="33">
        <v>0</v>
      </c>
      <c r="K679" s="82">
        <v>3600</v>
      </c>
      <c r="L679" s="83"/>
      <c r="M679" s="33">
        <v>0</v>
      </c>
      <c r="N679" s="82">
        <v>61</v>
      </c>
      <c r="O679" s="83"/>
      <c r="P679" s="33">
        <v>0</v>
      </c>
      <c r="Q679" s="29">
        <f t="shared" si="180"/>
        <v>0</v>
      </c>
      <c r="R679" s="243"/>
      <c r="S679" s="244"/>
      <c r="T679" s="245"/>
      <c r="Z679" s="209"/>
      <c r="AA679" s="209"/>
      <c r="IQ679" s="80"/>
      <c r="IR679" s="80"/>
      <c r="IS679" s="80"/>
      <c r="IT679" s="80"/>
      <c r="IU679" s="80"/>
    </row>
    <row r="680" spans="2:255" s="77" customFormat="1" ht="16.5" customHeight="1" hidden="1">
      <c r="B680" s="38" t="s">
        <v>45</v>
      </c>
      <c r="C680" s="65"/>
      <c r="D680" s="82">
        <f>G680+J680+M680+P680</f>
        <v>0</v>
      </c>
      <c r="E680" s="82">
        <f>680+1700+1700</f>
        <v>4080</v>
      </c>
      <c r="F680" s="83"/>
      <c r="G680" s="33">
        <v>0</v>
      </c>
      <c r="H680" s="82">
        <v>20400</v>
      </c>
      <c r="I680" s="83"/>
      <c r="J680" s="33">
        <v>0</v>
      </c>
      <c r="K680" s="82">
        <v>20400</v>
      </c>
      <c r="L680" s="83"/>
      <c r="M680" s="33">
        <v>0</v>
      </c>
      <c r="N680" s="82">
        <v>346</v>
      </c>
      <c r="O680" s="83"/>
      <c r="P680" s="33">
        <v>0</v>
      </c>
      <c r="Q680" s="29">
        <f t="shared" si="180"/>
        <v>0</v>
      </c>
      <c r="R680" s="243"/>
      <c r="S680" s="243"/>
      <c r="T680" s="245"/>
      <c r="Z680" s="209"/>
      <c r="AA680" s="209"/>
      <c r="IQ680" s="80"/>
      <c r="IR680" s="80"/>
      <c r="IS680" s="80"/>
      <c r="IT680" s="80"/>
      <c r="IU680" s="80"/>
    </row>
    <row r="681" spans="2:255" s="77" customFormat="1" ht="16.5" customHeight="1" hidden="1">
      <c r="B681" s="38" t="s">
        <v>46</v>
      </c>
      <c r="C681" s="65"/>
      <c r="D681" s="82">
        <f>G681+J681+M681+P681</f>
        <v>0</v>
      </c>
      <c r="E681" s="82">
        <v>50</v>
      </c>
      <c r="F681" s="83"/>
      <c r="G681" s="33">
        <v>0</v>
      </c>
      <c r="H681" s="82">
        <v>50</v>
      </c>
      <c r="I681" s="83"/>
      <c r="J681" s="33">
        <v>0</v>
      </c>
      <c r="K681" s="82">
        <v>18</v>
      </c>
      <c r="L681" s="83"/>
      <c r="M681" s="33">
        <v>0</v>
      </c>
      <c r="N681" s="82">
        <v>0</v>
      </c>
      <c r="O681" s="83"/>
      <c r="P681" s="33">
        <v>0</v>
      </c>
      <c r="Q681" s="29">
        <f t="shared" si="180"/>
        <v>0</v>
      </c>
      <c r="R681" s="207"/>
      <c r="S681" s="207"/>
      <c r="T681" s="79"/>
      <c r="Z681" s="209"/>
      <c r="AA681" s="209"/>
      <c r="IQ681" s="80"/>
      <c r="IR681" s="80"/>
      <c r="IS681" s="80"/>
      <c r="IT681" s="80"/>
      <c r="IU681" s="80"/>
    </row>
    <row r="682" spans="2:255" s="77" customFormat="1" ht="16.5" customHeight="1" hidden="1">
      <c r="B682" s="38"/>
      <c r="C682" s="65"/>
      <c r="D682" s="82"/>
      <c r="E682" s="82"/>
      <c r="F682" s="83"/>
      <c r="G682" s="29"/>
      <c r="H682" s="82"/>
      <c r="I682" s="83"/>
      <c r="J682" s="29"/>
      <c r="K682" s="82"/>
      <c r="L682" s="83"/>
      <c r="M682" s="29"/>
      <c r="N682" s="82"/>
      <c r="O682" s="83"/>
      <c r="P682" s="29"/>
      <c r="Q682" s="29">
        <f t="shared" si="180"/>
        <v>0</v>
      </c>
      <c r="R682" s="210"/>
      <c r="S682" s="210"/>
      <c r="Z682" s="209"/>
      <c r="AA682" s="209"/>
      <c r="IQ682" s="80"/>
      <c r="IR682" s="80"/>
      <c r="IS682" s="80"/>
      <c r="IT682" s="80"/>
      <c r="IU682" s="80"/>
    </row>
    <row r="683" spans="2:255" s="77" customFormat="1" ht="16.5" customHeight="1" hidden="1">
      <c r="B683" s="38"/>
      <c r="C683" s="65"/>
      <c r="D683" s="88">
        <f>D684+D685+D686+D688+D687</f>
        <v>13292</v>
      </c>
      <c r="E683" s="88">
        <f>E684+E685+E686+E688+E687</f>
        <v>146</v>
      </c>
      <c r="F683" s="89"/>
      <c r="G683" s="88">
        <f>G684+G685+G686+G688+G687</f>
        <v>0</v>
      </c>
      <c r="H683" s="88">
        <f>H684+H685+H686+H688+H687</f>
        <v>28754</v>
      </c>
      <c r="I683" s="89"/>
      <c r="J683" s="88">
        <f>J684+J685+J686+J688+J687</f>
        <v>13292</v>
      </c>
      <c r="K683" s="88">
        <f>K684+K685+K686+K688+K687</f>
        <v>24018</v>
      </c>
      <c r="L683" s="89"/>
      <c r="M683" s="88">
        <f>M684+M685+M686+M688+M687</f>
        <v>0</v>
      </c>
      <c r="N683" s="88">
        <f>N684+N685+N686+N688+N687</f>
        <v>407</v>
      </c>
      <c r="O683" s="89"/>
      <c r="P683" s="88">
        <f>P684+P685+P686+P688+P687</f>
        <v>0</v>
      </c>
      <c r="Q683" s="29">
        <f t="shared" si="180"/>
        <v>13292</v>
      </c>
      <c r="R683" s="211"/>
      <c r="S683" s="211"/>
      <c r="T683" s="87"/>
      <c r="Z683" s="209"/>
      <c r="AA683" s="209"/>
      <c r="IQ683" s="80"/>
      <c r="IR683" s="80"/>
      <c r="IS683" s="80"/>
      <c r="IT683" s="80"/>
      <c r="IU683" s="80"/>
    </row>
    <row r="684" spans="2:255" s="77" customFormat="1" ht="16.5" customHeight="1" hidden="1">
      <c r="B684" s="38" t="s">
        <v>47</v>
      </c>
      <c r="C684" s="65"/>
      <c r="D684" s="91">
        <f>G684+J684+M684+P684</f>
        <v>1763</v>
      </c>
      <c r="E684" s="82">
        <v>0</v>
      </c>
      <c r="F684" s="83"/>
      <c r="G684" s="33">
        <v>0</v>
      </c>
      <c r="H684" s="82">
        <f>(H679+H680+E679+E680)*0.13</f>
        <v>3744</v>
      </c>
      <c r="I684" s="83"/>
      <c r="J684" s="33">
        <v>1763</v>
      </c>
      <c r="K684" s="82">
        <f>(K679+K680)*0.13</f>
        <v>3120</v>
      </c>
      <c r="L684" s="83"/>
      <c r="M684" s="33">
        <v>0</v>
      </c>
      <c r="N684" s="82">
        <f>(N679+N680)*0.13</f>
        <v>52.910000000000004</v>
      </c>
      <c r="O684" s="83"/>
      <c r="P684" s="33">
        <v>0</v>
      </c>
      <c r="Q684" s="29">
        <f t="shared" si="180"/>
        <v>1763</v>
      </c>
      <c r="R684" s="210"/>
      <c r="S684" s="210"/>
      <c r="Z684" s="209"/>
      <c r="AA684" s="209"/>
      <c r="IQ684" s="80"/>
      <c r="IR684" s="80"/>
      <c r="IS684" s="80"/>
      <c r="IT684" s="80"/>
      <c r="IU684" s="80"/>
    </row>
    <row r="685" spans="2:255" s="77" customFormat="1" ht="16.5" customHeight="1" hidden="1">
      <c r="B685" s="38" t="s">
        <v>48</v>
      </c>
      <c r="C685" s="65"/>
      <c r="D685" s="91">
        <f>G685+J685+M685+P685</f>
        <v>0</v>
      </c>
      <c r="E685" s="82">
        <v>0</v>
      </c>
      <c r="F685" s="83"/>
      <c r="G685" s="33">
        <v>0</v>
      </c>
      <c r="H685" s="82">
        <f>(H679+H680+E679+E680)*0.85-D687-H686</f>
        <v>12951</v>
      </c>
      <c r="I685" s="83"/>
      <c r="J685" s="33">
        <v>0</v>
      </c>
      <c r="K685" s="82">
        <f>(K679+K680)*0.85</f>
        <v>20400</v>
      </c>
      <c r="L685" s="83"/>
      <c r="M685" s="33">
        <v>0</v>
      </c>
      <c r="N685" s="82">
        <f>(N679+N680)*0.85</f>
        <v>345.95</v>
      </c>
      <c r="O685" s="83"/>
      <c r="P685" s="33">
        <v>0</v>
      </c>
      <c r="Q685" s="29">
        <f t="shared" si="180"/>
        <v>0</v>
      </c>
      <c r="R685" s="210"/>
      <c r="S685" s="210"/>
      <c r="Z685" s="209"/>
      <c r="AA685" s="209"/>
      <c r="IQ685" s="80"/>
      <c r="IR685" s="80"/>
      <c r="IS685" s="80"/>
      <c r="IT685" s="80"/>
      <c r="IU685" s="80"/>
    </row>
    <row r="686" spans="2:255" s="77" customFormat="1" ht="16.5" customHeight="1" hidden="1">
      <c r="B686" s="38" t="s">
        <v>49</v>
      </c>
      <c r="C686" s="65"/>
      <c r="D686" s="91">
        <f>G686+J686+M686+P686</f>
        <v>11529</v>
      </c>
      <c r="E686" s="141">
        <v>0</v>
      </c>
      <c r="F686" s="142"/>
      <c r="G686" s="33">
        <v>0</v>
      </c>
      <c r="H686" s="141">
        <f>D686-E686</f>
        <v>11529</v>
      </c>
      <c r="I686" s="142"/>
      <c r="J686" s="33">
        <v>11529</v>
      </c>
      <c r="K686" s="141">
        <v>0</v>
      </c>
      <c r="L686" s="142"/>
      <c r="M686" s="33">
        <v>0</v>
      </c>
      <c r="N686" s="141">
        <v>0</v>
      </c>
      <c r="O686" s="142"/>
      <c r="P686" s="33">
        <v>0</v>
      </c>
      <c r="Q686" s="29">
        <f t="shared" si="180"/>
        <v>11529</v>
      </c>
      <c r="R686" s="210"/>
      <c r="S686" s="210"/>
      <c r="Z686" s="209"/>
      <c r="AA686" s="209"/>
      <c r="IQ686" s="80"/>
      <c r="IR686" s="80"/>
      <c r="IS686" s="80"/>
      <c r="IT686" s="80"/>
      <c r="IU686" s="80"/>
    </row>
    <row r="687" spans="2:255" s="87" customFormat="1" ht="16.5" customHeight="1" hidden="1">
      <c r="B687" s="38" t="s">
        <v>57</v>
      </c>
      <c r="C687" s="28"/>
      <c r="D687" s="91">
        <f>G687+J687+M687+P687</f>
        <v>0</v>
      </c>
      <c r="E687" s="91">
        <f>D687</f>
        <v>0</v>
      </c>
      <c r="F687" s="92"/>
      <c r="G687" s="33">
        <v>0</v>
      </c>
      <c r="H687" s="91">
        <v>0</v>
      </c>
      <c r="I687" s="92"/>
      <c r="J687" s="33">
        <v>0</v>
      </c>
      <c r="K687" s="91">
        <v>0</v>
      </c>
      <c r="L687" s="92"/>
      <c r="M687" s="33">
        <v>0</v>
      </c>
      <c r="N687" s="91">
        <v>0</v>
      </c>
      <c r="O687" s="92"/>
      <c r="P687" s="33">
        <v>0</v>
      </c>
      <c r="Q687" s="29">
        <f t="shared" si="180"/>
        <v>0</v>
      </c>
      <c r="R687" s="210"/>
      <c r="S687" s="210"/>
      <c r="T687" s="77"/>
      <c r="Z687" s="223"/>
      <c r="AA687" s="223"/>
      <c r="IQ687" s="90"/>
      <c r="IR687" s="90"/>
      <c r="IS687" s="90"/>
      <c r="IT687" s="90"/>
      <c r="IU687" s="90"/>
    </row>
    <row r="688" spans="2:255" s="93" customFormat="1" ht="30" hidden="1">
      <c r="B688" s="49" t="s">
        <v>41</v>
      </c>
      <c r="C688" s="94"/>
      <c r="D688" s="91">
        <f>G688+J688+M688+P688</f>
        <v>0</v>
      </c>
      <c r="E688" s="82">
        <f>E681+(E679+E680)*2/100</f>
        <v>146</v>
      </c>
      <c r="F688" s="83"/>
      <c r="G688" s="33">
        <v>0</v>
      </c>
      <c r="H688" s="82">
        <f>H681+(H679+H680)*2/100</f>
        <v>530</v>
      </c>
      <c r="I688" s="83"/>
      <c r="J688" s="33">
        <v>0</v>
      </c>
      <c r="K688" s="82">
        <f>K681+(K679+K680)*2/100</f>
        <v>498</v>
      </c>
      <c r="L688" s="83"/>
      <c r="M688" s="33">
        <v>0</v>
      </c>
      <c r="N688" s="82">
        <f>N681+(N679+N680)*2/100</f>
        <v>8.14</v>
      </c>
      <c r="O688" s="83"/>
      <c r="P688" s="33">
        <v>0</v>
      </c>
      <c r="Q688" s="29">
        <f t="shared" si="180"/>
        <v>0</v>
      </c>
      <c r="R688" s="212"/>
      <c r="S688" s="212"/>
      <c r="Z688" s="216"/>
      <c r="AA688" s="216"/>
      <c r="IQ688" s="95"/>
      <c r="IR688" s="95"/>
      <c r="IS688" s="95"/>
      <c r="IT688" s="95"/>
      <c r="IU688" s="95"/>
    </row>
    <row r="689" spans="1:254" s="77" customFormat="1" ht="44.25" customHeight="1">
      <c r="A689" s="77">
        <v>65</v>
      </c>
      <c r="B689" s="23" t="s">
        <v>155</v>
      </c>
      <c r="C689" s="103" t="s">
        <v>158</v>
      </c>
      <c r="D689" s="41">
        <f>D690</f>
        <v>3383</v>
      </c>
      <c r="E689" s="41">
        <f>E690</f>
        <v>0</v>
      </c>
      <c r="F689" s="41"/>
      <c r="G689" s="41">
        <f>G690</f>
        <v>0</v>
      </c>
      <c r="H689" s="41">
        <f>H690</f>
        <v>0</v>
      </c>
      <c r="I689" s="41"/>
      <c r="J689" s="41">
        <f>J690</f>
        <v>3383</v>
      </c>
      <c r="K689" s="41">
        <f>K690</f>
        <v>0</v>
      </c>
      <c r="L689" s="41">
        <f>L690</f>
        <v>0</v>
      </c>
      <c r="M689" s="41">
        <f>M690</f>
        <v>0</v>
      </c>
      <c r="N689" s="41">
        <f>N690</f>
        <v>0</v>
      </c>
      <c r="O689" s="41"/>
      <c r="P689" s="41">
        <f>P690</f>
        <v>0</v>
      </c>
      <c r="Q689" s="29">
        <f t="shared" si="180"/>
        <v>3383</v>
      </c>
      <c r="R689" s="139"/>
      <c r="S689" s="139"/>
      <c r="T689" s="96"/>
      <c r="Z689" s="233">
        <v>0</v>
      </c>
      <c r="AA689" s="226">
        <f>D689+Z689</f>
        <v>3383</v>
      </c>
      <c r="IP689" s="80"/>
      <c r="IQ689" s="80"/>
      <c r="IR689" s="80"/>
      <c r="IS689" s="80"/>
      <c r="IT689" s="80"/>
    </row>
    <row r="690" spans="2:255" s="77" customFormat="1" ht="16.5" customHeight="1">
      <c r="B690" s="38" t="s">
        <v>35</v>
      </c>
      <c r="C690" s="65"/>
      <c r="D690" s="82">
        <f>G690+J690+M690+P690</f>
        <v>3383</v>
      </c>
      <c r="E690" s="82">
        <v>0</v>
      </c>
      <c r="F690" s="83"/>
      <c r="G690" s="29">
        <v>0</v>
      </c>
      <c r="H690" s="82">
        <v>0</v>
      </c>
      <c r="I690" s="83"/>
      <c r="J690" s="29">
        <f>2883+500</f>
        <v>3383</v>
      </c>
      <c r="K690" s="82">
        <v>0</v>
      </c>
      <c r="L690" s="83">
        <v>0</v>
      </c>
      <c r="M690" s="29">
        <v>0</v>
      </c>
      <c r="N690" s="82">
        <v>0</v>
      </c>
      <c r="O690" s="83"/>
      <c r="P690" s="29">
        <f>N690+O690</f>
        <v>0</v>
      </c>
      <c r="Q690" s="29">
        <f t="shared" si="180"/>
        <v>3383</v>
      </c>
      <c r="R690" s="239"/>
      <c r="S690" s="242"/>
      <c r="T690" s="240"/>
      <c r="Z690" s="209">
        <v>0</v>
      </c>
      <c r="AA690" s="130">
        <f>D690+Z690</f>
        <v>3383</v>
      </c>
      <c r="IQ690" s="80"/>
      <c r="IR690" s="80"/>
      <c r="IS690" s="80"/>
      <c r="IT690" s="80"/>
      <c r="IU690" s="80"/>
    </row>
    <row r="691" spans="2:255" s="77" customFormat="1" ht="19.5" customHeight="1" hidden="1">
      <c r="B691" s="38"/>
      <c r="C691" s="65"/>
      <c r="D691" s="82"/>
      <c r="E691" s="82"/>
      <c r="F691" s="82"/>
      <c r="G691" s="29"/>
      <c r="H691" s="82"/>
      <c r="I691" s="82"/>
      <c r="J691" s="29"/>
      <c r="K691" s="82"/>
      <c r="L691" s="82"/>
      <c r="M691" s="29"/>
      <c r="N691" s="82"/>
      <c r="O691" s="82"/>
      <c r="P691" s="29"/>
      <c r="Q691" s="29"/>
      <c r="R691" s="239"/>
      <c r="S691" s="239"/>
      <c r="T691" s="240"/>
      <c r="Z691" s="209"/>
      <c r="AA691" s="209"/>
      <c r="IQ691" s="80"/>
      <c r="IR691" s="80"/>
      <c r="IS691" s="80"/>
      <c r="IT691" s="80"/>
      <c r="IU691" s="80"/>
    </row>
    <row r="692" spans="2:255" s="77" customFormat="1" ht="19.5" customHeight="1" hidden="1">
      <c r="B692" s="38" t="s">
        <v>39</v>
      </c>
      <c r="C692" s="65"/>
      <c r="D692" s="82">
        <f>G692+J692+M692+P692</f>
        <v>500</v>
      </c>
      <c r="E692" s="82"/>
      <c r="F692" s="82"/>
      <c r="G692" s="29"/>
      <c r="H692" s="82"/>
      <c r="I692" s="82"/>
      <c r="J692" s="29"/>
      <c r="K692" s="82"/>
      <c r="L692" s="82"/>
      <c r="M692" s="29"/>
      <c r="N692" s="82"/>
      <c r="O692" s="82"/>
      <c r="P692" s="29">
        <v>500</v>
      </c>
      <c r="Q692" s="29"/>
      <c r="R692" s="139"/>
      <c r="S692" s="139"/>
      <c r="T692" s="97"/>
      <c r="Z692" s="209"/>
      <c r="AA692" s="209"/>
      <c r="IQ692" s="80"/>
      <c r="IR692" s="80"/>
      <c r="IS692" s="80"/>
      <c r="IT692" s="80"/>
      <c r="IU692" s="80"/>
    </row>
    <row r="693" spans="2:255" s="93" customFormat="1" ht="20.25" customHeight="1" hidden="1">
      <c r="B693" s="49" t="s">
        <v>41</v>
      </c>
      <c r="C693" s="94"/>
      <c r="D693" s="101">
        <f>G693+J693+M693+P693</f>
        <v>2883</v>
      </c>
      <c r="E693" s="91"/>
      <c r="F693" s="91"/>
      <c r="G693" s="29">
        <v>0</v>
      </c>
      <c r="H693" s="91"/>
      <c r="I693" s="91"/>
      <c r="J693" s="29">
        <f>2883+500-500</f>
        <v>2883</v>
      </c>
      <c r="K693" s="91"/>
      <c r="L693" s="91"/>
      <c r="M693" s="29">
        <v>0</v>
      </c>
      <c r="N693" s="91"/>
      <c r="O693" s="91"/>
      <c r="P693" s="29"/>
      <c r="Q693" s="29"/>
      <c r="R693" s="212"/>
      <c r="S693" s="212"/>
      <c r="Z693" s="216"/>
      <c r="AA693" s="216"/>
      <c r="IQ693" s="95"/>
      <c r="IR693" s="95"/>
      <c r="IS693" s="95"/>
      <c r="IT693" s="95"/>
      <c r="IU693" s="95"/>
    </row>
    <row r="694" spans="1:254" s="77" customFormat="1" ht="31.5" customHeight="1" hidden="1">
      <c r="A694" s="77">
        <v>55</v>
      </c>
      <c r="B694" s="23" t="s">
        <v>155</v>
      </c>
      <c r="C694" s="28" t="s">
        <v>159</v>
      </c>
      <c r="D694" s="41">
        <f>D695+D696+D697</f>
        <v>0</v>
      </c>
      <c r="E694" s="41">
        <f>E695+E696+E697</f>
        <v>72344</v>
      </c>
      <c r="F694" s="42"/>
      <c r="G694" s="41">
        <f>G695+G696+G697</f>
        <v>0</v>
      </c>
      <c r="H694" s="41">
        <f>H695+H696+H697</f>
        <v>92169</v>
      </c>
      <c r="I694" s="42">
        <f>I695+I696+I697</f>
        <v>0</v>
      </c>
      <c r="J694" s="41">
        <f>J695+J696+J697</f>
        <v>0</v>
      </c>
      <c r="K694" s="41">
        <f>K695+K696+K697</f>
        <v>0</v>
      </c>
      <c r="L694" s="42"/>
      <c r="M694" s="41">
        <f>M695+M696+M697</f>
        <v>0</v>
      </c>
      <c r="N694" s="41">
        <f>N695+N696+N697</f>
        <v>0</v>
      </c>
      <c r="O694" s="42"/>
      <c r="P694" s="41">
        <f>P695+P696+P697</f>
        <v>0</v>
      </c>
      <c r="Q694" s="29">
        <f aca="true" t="shared" si="181" ref="Q694:Q735">G694+J694+M694+P694</f>
        <v>0</v>
      </c>
      <c r="R694" s="139"/>
      <c r="S694" s="139"/>
      <c r="T694" s="96"/>
      <c r="Z694" s="209"/>
      <c r="AA694" s="209"/>
      <c r="IP694" s="80"/>
      <c r="IQ694" s="80"/>
      <c r="IR694" s="80"/>
      <c r="IS694" s="80"/>
      <c r="IT694" s="80"/>
    </row>
    <row r="695" spans="2:255" s="77" customFormat="1" ht="16.5" customHeight="1" hidden="1">
      <c r="B695" s="43" t="s">
        <v>44</v>
      </c>
      <c r="C695" s="65"/>
      <c r="D695" s="101">
        <f>G695+J695+M695+P695</f>
        <v>0</v>
      </c>
      <c r="E695" s="82">
        <v>9119</v>
      </c>
      <c r="F695" s="83"/>
      <c r="G695" s="33">
        <v>0</v>
      </c>
      <c r="H695" s="82">
        <v>11618</v>
      </c>
      <c r="I695" s="83"/>
      <c r="J695" s="33">
        <v>0</v>
      </c>
      <c r="K695" s="82">
        <v>0</v>
      </c>
      <c r="L695" s="83"/>
      <c r="M695" s="33">
        <v>0</v>
      </c>
      <c r="N695" s="82">
        <v>0</v>
      </c>
      <c r="O695" s="83"/>
      <c r="P695" s="33">
        <v>0</v>
      </c>
      <c r="Q695" s="29">
        <f t="shared" si="181"/>
        <v>0</v>
      </c>
      <c r="R695" s="239"/>
      <c r="S695" s="242"/>
      <c r="T695" s="240"/>
      <c r="Z695" s="209"/>
      <c r="AA695" s="209"/>
      <c r="IQ695" s="80"/>
      <c r="IR695" s="80"/>
      <c r="IS695" s="80"/>
      <c r="IT695" s="80"/>
      <c r="IU695" s="80"/>
    </row>
    <row r="696" spans="2:255" s="77" customFormat="1" ht="16.5" customHeight="1" hidden="1">
      <c r="B696" s="38" t="s">
        <v>45</v>
      </c>
      <c r="C696" s="65"/>
      <c r="D696" s="101">
        <f>G696+J696+M696+P696</f>
        <v>0</v>
      </c>
      <c r="E696" s="82">
        <v>51674</v>
      </c>
      <c r="F696" s="83"/>
      <c r="G696" s="33">
        <v>0</v>
      </c>
      <c r="H696" s="82">
        <v>65835</v>
      </c>
      <c r="I696" s="83"/>
      <c r="J696" s="33">
        <v>0</v>
      </c>
      <c r="K696" s="82">
        <v>0</v>
      </c>
      <c r="L696" s="83"/>
      <c r="M696" s="33">
        <v>0</v>
      </c>
      <c r="N696" s="82">
        <v>0</v>
      </c>
      <c r="O696" s="83"/>
      <c r="P696" s="33">
        <v>0</v>
      </c>
      <c r="Q696" s="29">
        <f t="shared" si="181"/>
        <v>0</v>
      </c>
      <c r="R696" s="239"/>
      <c r="S696" s="239"/>
      <c r="T696" s="240"/>
      <c r="Z696" s="209"/>
      <c r="AA696" s="209"/>
      <c r="IQ696" s="80"/>
      <c r="IR696" s="80"/>
      <c r="IS696" s="80"/>
      <c r="IT696" s="80"/>
      <c r="IU696" s="80"/>
    </row>
    <row r="697" spans="2:255" s="77" customFormat="1" ht="17.25" customHeight="1" hidden="1">
      <c r="B697" s="38" t="s">
        <v>46</v>
      </c>
      <c r="C697" s="65"/>
      <c r="D697" s="101">
        <f>G697+J697+M697+P697</f>
        <v>0</v>
      </c>
      <c r="E697" s="82">
        <v>11551</v>
      </c>
      <c r="F697" s="83"/>
      <c r="G697" s="33">
        <v>0</v>
      </c>
      <c r="H697" s="82">
        <v>14716</v>
      </c>
      <c r="I697" s="83"/>
      <c r="J697" s="33">
        <v>0</v>
      </c>
      <c r="K697" s="82">
        <v>0</v>
      </c>
      <c r="L697" s="83"/>
      <c r="M697" s="33">
        <v>0</v>
      </c>
      <c r="N697" s="82">
        <v>0</v>
      </c>
      <c r="O697" s="83"/>
      <c r="P697" s="33">
        <v>0</v>
      </c>
      <c r="Q697" s="29">
        <f t="shared" si="181"/>
        <v>0</v>
      </c>
      <c r="R697" s="139"/>
      <c r="S697" s="139"/>
      <c r="T697" s="98"/>
      <c r="Z697" s="209"/>
      <c r="AA697" s="209"/>
      <c r="IQ697" s="80"/>
      <c r="IR697" s="80"/>
      <c r="IS697" s="80"/>
      <c r="IT697" s="80"/>
      <c r="IU697" s="80"/>
    </row>
    <row r="698" spans="2:255" s="77" customFormat="1" ht="16.5" customHeight="1" hidden="1">
      <c r="B698" s="38"/>
      <c r="C698" s="65"/>
      <c r="D698" s="82"/>
      <c r="E698" s="82"/>
      <c r="F698" s="83"/>
      <c r="G698" s="29"/>
      <c r="H698" s="82"/>
      <c r="I698" s="83"/>
      <c r="J698" s="29"/>
      <c r="K698" s="82"/>
      <c r="L698" s="83"/>
      <c r="M698" s="29"/>
      <c r="N698" s="82"/>
      <c r="O698" s="83"/>
      <c r="P698" s="29"/>
      <c r="Q698" s="29">
        <f t="shared" si="181"/>
        <v>0</v>
      </c>
      <c r="R698" s="213"/>
      <c r="S698" s="213"/>
      <c r="T698" s="98"/>
      <c r="Z698" s="209"/>
      <c r="AA698" s="209"/>
      <c r="IQ698" s="80"/>
      <c r="IR698" s="80"/>
      <c r="IS698" s="80"/>
      <c r="IT698" s="80"/>
      <c r="IU698" s="80"/>
    </row>
    <row r="699" spans="2:255" s="87" customFormat="1" ht="16.5" customHeight="1" hidden="1">
      <c r="B699" s="39"/>
      <c r="C699" s="28"/>
      <c r="D699" s="88">
        <f>D700+D701+D702+D704+D703</f>
        <v>791</v>
      </c>
      <c r="E699" s="88">
        <f>E700+E701+E702+E704+E703</f>
        <v>430</v>
      </c>
      <c r="F699" s="89"/>
      <c r="G699" s="88">
        <f>G700+G701+G702+G704+G703</f>
        <v>0</v>
      </c>
      <c r="H699" s="88">
        <f>H700+H701+H702+H704+H703</f>
        <v>95643</v>
      </c>
      <c r="I699" s="89">
        <f>I700+I701+I702+I703+I704</f>
        <v>18000</v>
      </c>
      <c r="J699" s="88">
        <f>J700+J701+J702+J704+J703</f>
        <v>791</v>
      </c>
      <c r="K699" s="88">
        <f>K700+K701+K702+K704+K703</f>
        <v>0</v>
      </c>
      <c r="L699" s="89"/>
      <c r="M699" s="88">
        <f>M700+M701+M702+M704+M703</f>
        <v>0</v>
      </c>
      <c r="N699" s="88">
        <f>N700+N701+N702+N704+N703</f>
        <v>0</v>
      </c>
      <c r="O699" s="89"/>
      <c r="P699" s="88">
        <f>P700+P701+P702+P704+P703</f>
        <v>0</v>
      </c>
      <c r="Q699" s="29">
        <f t="shared" si="181"/>
        <v>791</v>
      </c>
      <c r="R699" s="211"/>
      <c r="S699" s="211"/>
      <c r="Z699" s="223"/>
      <c r="AA699" s="223"/>
      <c r="IQ699" s="90"/>
      <c r="IR699" s="90"/>
      <c r="IS699" s="90"/>
      <c r="IT699" s="90"/>
      <c r="IU699" s="90"/>
    </row>
    <row r="700" spans="2:255" s="77" customFormat="1" ht="16.5" customHeight="1" hidden="1">
      <c r="B700" s="38" t="s">
        <v>47</v>
      </c>
      <c r="C700" s="65"/>
      <c r="D700" s="101">
        <f>G700+J700+M700+P700</f>
        <v>216</v>
      </c>
      <c r="E700" s="82">
        <v>0</v>
      </c>
      <c r="F700" s="83"/>
      <c r="G700" s="33">
        <v>0</v>
      </c>
      <c r="H700" s="82">
        <v>39392</v>
      </c>
      <c r="I700" s="83">
        <f>4503+161+204</f>
        <v>4868</v>
      </c>
      <c r="J700" s="33">
        <v>216</v>
      </c>
      <c r="K700" s="82">
        <f>(K695+K696)*0.13</f>
        <v>0</v>
      </c>
      <c r="L700" s="83"/>
      <c r="M700" s="33">
        <v>0</v>
      </c>
      <c r="N700" s="82">
        <f>(N695+N696)*0.13</f>
        <v>0</v>
      </c>
      <c r="O700" s="83"/>
      <c r="P700" s="33">
        <v>0</v>
      </c>
      <c r="Q700" s="33">
        <f t="shared" si="181"/>
        <v>216</v>
      </c>
      <c r="R700" s="210"/>
      <c r="S700" s="210"/>
      <c r="Z700" s="209"/>
      <c r="AA700" s="209"/>
      <c r="IQ700" s="80"/>
      <c r="IR700" s="80"/>
      <c r="IS700" s="80"/>
      <c r="IT700" s="80"/>
      <c r="IU700" s="80"/>
    </row>
    <row r="701" spans="2:255" s="77" customFormat="1" ht="16.5" customHeight="1" hidden="1">
      <c r="B701" s="38" t="s">
        <v>48</v>
      </c>
      <c r="C701" s="65"/>
      <c r="D701" s="101">
        <f>G701+J701+M701+P701</f>
        <v>0</v>
      </c>
      <c r="E701" s="82">
        <v>0</v>
      </c>
      <c r="F701" s="83"/>
      <c r="G701" s="33">
        <v>0</v>
      </c>
      <c r="H701" s="82">
        <v>53644</v>
      </c>
      <c r="I701" s="83">
        <f>-39078+913</f>
        <v>-38165</v>
      </c>
      <c r="J701" s="33">
        <v>0</v>
      </c>
      <c r="K701" s="82">
        <f>(K695+K696)*0.85</f>
        <v>0</v>
      </c>
      <c r="L701" s="83"/>
      <c r="M701" s="33">
        <v>0</v>
      </c>
      <c r="N701" s="82">
        <f>(N695+N696)*0.85</f>
        <v>0</v>
      </c>
      <c r="O701" s="83"/>
      <c r="P701" s="33">
        <v>0</v>
      </c>
      <c r="Q701" s="33">
        <f t="shared" si="181"/>
        <v>0</v>
      </c>
      <c r="R701" s="210"/>
      <c r="S701" s="210"/>
      <c r="Z701" s="209"/>
      <c r="AA701" s="209"/>
      <c r="IQ701" s="80"/>
      <c r="IR701" s="80"/>
      <c r="IS701" s="80"/>
      <c r="IT701" s="80"/>
      <c r="IU701" s="80"/>
    </row>
    <row r="702" spans="2:255" s="77" customFormat="1" ht="16.5" customHeight="1" hidden="1">
      <c r="B702" s="38" t="s">
        <v>49</v>
      </c>
      <c r="C702" s="65"/>
      <c r="D702" s="101">
        <f>G702+J702+M702+P702</f>
        <v>575</v>
      </c>
      <c r="E702" s="141">
        <v>0</v>
      </c>
      <c r="F702" s="142"/>
      <c r="G702" s="33">
        <v>0</v>
      </c>
      <c r="H702" s="143">
        <f>D702-E702</f>
        <v>575</v>
      </c>
      <c r="I702" s="144"/>
      <c r="J702" s="33">
        <v>575</v>
      </c>
      <c r="K702" s="143">
        <v>0</v>
      </c>
      <c r="L702" s="144"/>
      <c r="M702" s="33">
        <v>0</v>
      </c>
      <c r="N702" s="143">
        <v>0</v>
      </c>
      <c r="O702" s="144"/>
      <c r="P702" s="33">
        <v>0</v>
      </c>
      <c r="Q702" s="33">
        <f t="shared" si="181"/>
        <v>575</v>
      </c>
      <c r="R702" s="210"/>
      <c r="S702" s="210"/>
      <c r="Z702" s="209"/>
      <c r="AA702" s="209"/>
      <c r="IQ702" s="80"/>
      <c r="IR702" s="80"/>
      <c r="IS702" s="80"/>
      <c r="IT702" s="80"/>
      <c r="IU702" s="80"/>
    </row>
    <row r="703" spans="2:255" s="77" customFormat="1" ht="16.5" customHeight="1" hidden="1">
      <c r="B703" s="38" t="s">
        <v>57</v>
      </c>
      <c r="C703" s="65"/>
      <c r="D703" s="101">
        <f>G703+J703+M703+P703</f>
        <v>0</v>
      </c>
      <c r="E703" s="91">
        <f>D703</f>
        <v>0</v>
      </c>
      <c r="F703" s="92"/>
      <c r="G703" s="33">
        <v>0</v>
      </c>
      <c r="H703" s="91">
        <v>0</v>
      </c>
      <c r="I703" s="92">
        <v>51015</v>
      </c>
      <c r="J703" s="33">
        <v>0</v>
      </c>
      <c r="K703" s="91">
        <v>0</v>
      </c>
      <c r="L703" s="92"/>
      <c r="M703" s="33">
        <v>0</v>
      </c>
      <c r="N703" s="91">
        <v>0</v>
      </c>
      <c r="O703" s="92"/>
      <c r="P703" s="33">
        <v>0</v>
      </c>
      <c r="Q703" s="33">
        <f t="shared" si="181"/>
        <v>0</v>
      </c>
      <c r="R703" s="210"/>
      <c r="S703" s="210"/>
      <c r="Z703" s="209"/>
      <c r="AA703" s="209"/>
      <c r="IQ703" s="80"/>
      <c r="IR703" s="80"/>
      <c r="IS703" s="80"/>
      <c r="IT703" s="80"/>
      <c r="IU703" s="80"/>
    </row>
    <row r="704" spans="2:255" s="93" customFormat="1" ht="30" hidden="1">
      <c r="B704" s="49" t="s">
        <v>41</v>
      </c>
      <c r="C704" s="94"/>
      <c r="D704" s="101">
        <f>G704+J704+M704+P704</f>
        <v>0</v>
      </c>
      <c r="E704" s="82">
        <v>430</v>
      </c>
      <c r="F704" s="83"/>
      <c r="G704" s="33">
        <v>0</v>
      </c>
      <c r="H704" s="82">
        <v>2032</v>
      </c>
      <c r="I704" s="83">
        <v>282</v>
      </c>
      <c r="J704" s="33">
        <v>0</v>
      </c>
      <c r="K704" s="82">
        <f>(K695+K696)*2/100</f>
        <v>0</v>
      </c>
      <c r="L704" s="83"/>
      <c r="M704" s="33">
        <v>0</v>
      </c>
      <c r="N704" s="82">
        <f>(N695+N696)*2/100</f>
        <v>0</v>
      </c>
      <c r="O704" s="83"/>
      <c r="P704" s="33">
        <v>0</v>
      </c>
      <c r="Q704" s="33">
        <f t="shared" si="181"/>
        <v>0</v>
      </c>
      <c r="R704" s="212"/>
      <c r="S704" s="212"/>
      <c r="Z704" s="216"/>
      <c r="AA704" s="216"/>
      <c r="IQ704" s="95"/>
      <c r="IR704" s="95"/>
      <c r="IS704" s="95"/>
      <c r="IT704" s="95"/>
      <c r="IU704" s="95"/>
    </row>
    <row r="705" spans="1:254" s="77" customFormat="1" ht="93" customHeight="1">
      <c r="A705" s="77">
        <v>66</v>
      </c>
      <c r="B705" s="104" t="s">
        <v>155</v>
      </c>
      <c r="C705" s="28" t="s">
        <v>160</v>
      </c>
      <c r="D705" s="41">
        <f>D706+D707+D708</f>
        <v>24</v>
      </c>
      <c r="E705" s="41">
        <f>E706+E707+E708</f>
        <v>1656</v>
      </c>
      <c r="F705" s="42"/>
      <c r="G705" s="29">
        <f>G706+G707+G708</f>
        <v>24</v>
      </c>
      <c r="H705" s="41">
        <f>H706+H707+H708</f>
        <v>4965</v>
      </c>
      <c r="I705" s="42"/>
      <c r="J705" s="29">
        <v>0</v>
      </c>
      <c r="K705" s="41">
        <f>K706+K707+K708</f>
        <v>0</v>
      </c>
      <c r="L705" s="42"/>
      <c r="M705" s="29">
        <f>K705+L705</f>
        <v>0</v>
      </c>
      <c r="N705" s="41">
        <f>N706+N707+N708</f>
        <v>0</v>
      </c>
      <c r="O705" s="42"/>
      <c r="P705" s="29">
        <f>N705+O705</f>
        <v>0</v>
      </c>
      <c r="Q705" s="29">
        <f t="shared" si="181"/>
        <v>24</v>
      </c>
      <c r="R705" s="139"/>
      <c r="S705" s="139"/>
      <c r="T705" s="96"/>
      <c r="U705" s="87"/>
      <c r="V705" s="87"/>
      <c r="Z705" s="233">
        <v>0</v>
      </c>
      <c r="AA705" s="226">
        <f>D705+Z705</f>
        <v>24</v>
      </c>
      <c r="IP705" s="80"/>
      <c r="IQ705" s="80"/>
      <c r="IR705" s="80"/>
      <c r="IS705" s="80"/>
      <c r="IT705" s="80"/>
    </row>
    <row r="706" spans="2:255" s="77" customFormat="1" ht="15" customHeight="1">
      <c r="B706" s="43" t="s">
        <v>44</v>
      </c>
      <c r="C706" s="65"/>
      <c r="D706" s="45">
        <f>G706+J706+M706+P706</f>
        <v>0</v>
      </c>
      <c r="E706" s="82">
        <v>249</v>
      </c>
      <c r="F706" s="83"/>
      <c r="G706" s="33">
        <v>0</v>
      </c>
      <c r="H706" s="82">
        <v>744</v>
      </c>
      <c r="I706" s="83"/>
      <c r="J706" s="33">
        <v>0</v>
      </c>
      <c r="K706" s="82">
        <v>0</v>
      </c>
      <c r="L706" s="83"/>
      <c r="M706" s="33">
        <f>K706+L706</f>
        <v>0</v>
      </c>
      <c r="N706" s="82">
        <v>0</v>
      </c>
      <c r="O706" s="83"/>
      <c r="P706" s="33">
        <f>N706+O706</f>
        <v>0</v>
      </c>
      <c r="Q706" s="29">
        <f t="shared" si="181"/>
        <v>0</v>
      </c>
      <c r="R706" s="239"/>
      <c r="S706" s="239"/>
      <c r="T706" s="240"/>
      <c r="Z706" s="209">
        <v>0</v>
      </c>
      <c r="AA706" s="130">
        <f>D706+Z706</f>
        <v>0</v>
      </c>
      <c r="IQ706" s="80"/>
      <c r="IR706" s="80"/>
      <c r="IS706" s="80"/>
      <c r="IT706" s="80"/>
      <c r="IU706" s="80"/>
    </row>
    <row r="707" spans="2:255" s="77" customFormat="1" ht="16.5" customHeight="1">
      <c r="B707" s="38" t="s">
        <v>45</v>
      </c>
      <c r="C707" s="65"/>
      <c r="D707" s="45">
        <f>G707+J707+M707+P707</f>
        <v>0</v>
      </c>
      <c r="E707" s="82">
        <v>1407</v>
      </c>
      <c r="F707" s="83"/>
      <c r="G707" s="33">
        <v>0</v>
      </c>
      <c r="H707" s="82">
        <v>4221</v>
      </c>
      <c r="I707" s="83"/>
      <c r="J707" s="33">
        <v>0</v>
      </c>
      <c r="K707" s="82">
        <v>0</v>
      </c>
      <c r="L707" s="83"/>
      <c r="M707" s="33">
        <f>K707+L707</f>
        <v>0</v>
      </c>
      <c r="N707" s="82">
        <v>0</v>
      </c>
      <c r="O707" s="83"/>
      <c r="P707" s="33">
        <f>N707+O707</f>
        <v>0</v>
      </c>
      <c r="Q707" s="29">
        <f t="shared" si="181"/>
        <v>0</v>
      </c>
      <c r="R707" s="239"/>
      <c r="S707" s="239"/>
      <c r="T707" s="240"/>
      <c r="Z707" s="209">
        <v>0</v>
      </c>
      <c r="AA707" s="130">
        <f>D707+Z707</f>
        <v>0</v>
      </c>
      <c r="IQ707" s="80"/>
      <c r="IR707" s="80"/>
      <c r="IS707" s="80"/>
      <c r="IT707" s="80"/>
      <c r="IU707" s="80"/>
    </row>
    <row r="708" spans="2:255" s="77" customFormat="1" ht="15" customHeight="1">
      <c r="B708" s="38" t="s">
        <v>46</v>
      </c>
      <c r="C708" s="65"/>
      <c r="D708" s="45">
        <f>G708+J708+M708+P708</f>
        <v>24</v>
      </c>
      <c r="E708" s="82">
        <v>0</v>
      </c>
      <c r="F708" s="83"/>
      <c r="G708" s="33">
        <v>24</v>
      </c>
      <c r="H708" s="82">
        <v>0</v>
      </c>
      <c r="I708" s="83"/>
      <c r="J708" s="33">
        <v>0</v>
      </c>
      <c r="K708" s="82">
        <v>0</v>
      </c>
      <c r="L708" s="83"/>
      <c r="M708" s="33">
        <f>K708+L708</f>
        <v>0</v>
      </c>
      <c r="N708" s="82">
        <v>0</v>
      </c>
      <c r="O708" s="83"/>
      <c r="P708" s="33">
        <f>N708+O708</f>
        <v>0</v>
      </c>
      <c r="Q708" s="29">
        <f t="shared" si="181"/>
        <v>24</v>
      </c>
      <c r="R708" s="139"/>
      <c r="S708" s="139"/>
      <c r="T708" s="98"/>
      <c r="Z708" s="209">
        <v>0</v>
      </c>
      <c r="AA708" s="130">
        <f>D708+Z708</f>
        <v>24</v>
      </c>
      <c r="IQ708" s="80"/>
      <c r="IR708" s="80"/>
      <c r="IS708" s="80"/>
      <c r="IT708" s="80"/>
      <c r="IU708" s="80"/>
    </row>
    <row r="709" spans="2:255" s="77" customFormat="1" ht="16.5" customHeight="1" hidden="1">
      <c r="B709" s="38"/>
      <c r="C709" s="65"/>
      <c r="D709" s="82"/>
      <c r="E709" s="82"/>
      <c r="F709" s="83"/>
      <c r="G709" s="33">
        <f>E709+F709</f>
        <v>0</v>
      </c>
      <c r="H709" s="82"/>
      <c r="I709" s="83"/>
      <c r="J709" s="33">
        <f>H709+I709</f>
        <v>0</v>
      </c>
      <c r="K709" s="82"/>
      <c r="L709" s="83"/>
      <c r="M709" s="33">
        <f>K709+L709</f>
        <v>0</v>
      </c>
      <c r="N709" s="82"/>
      <c r="O709" s="83"/>
      <c r="P709" s="33">
        <f>N709+O709</f>
        <v>0</v>
      </c>
      <c r="Q709" s="29">
        <f t="shared" si="181"/>
        <v>0</v>
      </c>
      <c r="R709" s="213"/>
      <c r="S709" s="213"/>
      <c r="T709" s="98"/>
      <c r="Z709" s="209"/>
      <c r="AA709" s="209"/>
      <c r="IQ709" s="80"/>
      <c r="IR709" s="80"/>
      <c r="IS709" s="80"/>
      <c r="IT709" s="80"/>
      <c r="IU709" s="80"/>
    </row>
    <row r="710" spans="2:255" s="77" customFormat="1" ht="16.5" customHeight="1" hidden="1">
      <c r="B710" s="38"/>
      <c r="C710" s="65"/>
      <c r="D710" s="88">
        <f>D711+D712+D713+D715+D714</f>
        <v>1849</v>
      </c>
      <c r="E710" s="88">
        <f>E711+E712+E713+E715+E714</f>
        <v>33.12</v>
      </c>
      <c r="F710" s="89"/>
      <c r="G710" s="88">
        <f>G711+G712+G713+G715+G714</f>
        <v>0</v>
      </c>
      <c r="H710" s="88">
        <f>H711+H712+H713+H715+H714</f>
        <v>6587.88</v>
      </c>
      <c r="I710" s="89"/>
      <c r="J710" s="88">
        <f>J711+J712+J713+J715+J714</f>
        <v>1849</v>
      </c>
      <c r="K710" s="88">
        <f>K711+K712+K713+K715+K714</f>
        <v>0</v>
      </c>
      <c r="L710" s="89"/>
      <c r="M710" s="88">
        <f>M711+M712+M713+M715+M714</f>
        <v>0</v>
      </c>
      <c r="N710" s="88">
        <f>N711+N712+N713+N715+N714</f>
        <v>0</v>
      </c>
      <c r="O710" s="89"/>
      <c r="P710" s="88">
        <f>P711+P712+P713+P715+P714</f>
        <v>0</v>
      </c>
      <c r="Q710" s="29">
        <f t="shared" si="181"/>
        <v>1849</v>
      </c>
      <c r="R710" s="214"/>
      <c r="S710" s="214"/>
      <c r="T710" s="99"/>
      <c r="Z710" s="209"/>
      <c r="AA710" s="209"/>
      <c r="IQ710" s="80"/>
      <c r="IR710" s="80"/>
      <c r="IS710" s="80"/>
      <c r="IT710" s="80"/>
      <c r="IU710" s="80"/>
    </row>
    <row r="711" spans="2:255" s="77" customFormat="1" ht="16.5" customHeight="1" hidden="1">
      <c r="B711" s="38" t="s">
        <v>47</v>
      </c>
      <c r="C711" s="65"/>
      <c r="D711" s="88">
        <f>G711+J711+M711+P711</f>
        <v>245</v>
      </c>
      <c r="E711" s="82">
        <v>0</v>
      </c>
      <c r="F711" s="83"/>
      <c r="G711" s="33">
        <v>0</v>
      </c>
      <c r="H711" s="82">
        <f>(H706+H707+E706+E707)*0.13</f>
        <v>860.73</v>
      </c>
      <c r="I711" s="83"/>
      <c r="J711" s="33">
        <v>245</v>
      </c>
      <c r="K711" s="82">
        <f>(K706+K707)*0.13</f>
        <v>0</v>
      </c>
      <c r="L711" s="83"/>
      <c r="M711" s="33">
        <f>K711+L711</f>
        <v>0</v>
      </c>
      <c r="N711" s="82">
        <f>(N706+N707)*0.13</f>
        <v>0</v>
      </c>
      <c r="O711" s="83"/>
      <c r="P711" s="33">
        <f>N711+O711</f>
        <v>0</v>
      </c>
      <c r="Q711" s="29">
        <f t="shared" si="181"/>
        <v>245</v>
      </c>
      <c r="R711" s="210"/>
      <c r="S711" s="210"/>
      <c r="Z711" s="209"/>
      <c r="AA711" s="209"/>
      <c r="IQ711" s="80"/>
      <c r="IR711" s="80"/>
      <c r="IS711" s="80"/>
      <c r="IT711" s="80"/>
      <c r="IU711" s="80"/>
    </row>
    <row r="712" spans="2:255" s="77" customFormat="1" ht="16.5" customHeight="1" hidden="1">
      <c r="B712" s="38" t="s">
        <v>48</v>
      </c>
      <c r="C712" s="65"/>
      <c r="D712" s="88">
        <f>G712+J712+M712+P712</f>
        <v>0</v>
      </c>
      <c r="E712" s="82">
        <v>0</v>
      </c>
      <c r="F712" s="83"/>
      <c r="G712" s="33">
        <v>0</v>
      </c>
      <c r="H712" s="82">
        <f>(H706+H707+E706+E707)*0.85-D714-H713</f>
        <v>4023.8499999999995</v>
      </c>
      <c r="I712" s="83"/>
      <c r="J712" s="33">
        <v>0</v>
      </c>
      <c r="K712" s="82">
        <f>(K706+K707)*0.85</f>
        <v>0</v>
      </c>
      <c r="L712" s="83"/>
      <c r="M712" s="33">
        <v>0</v>
      </c>
      <c r="N712" s="82">
        <f>(N706+N707)*0.85</f>
        <v>0</v>
      </c>
      <c r="O712" s="83"/>
      <c r="P712" s="33">
        <v>0</v>
      </c>
      <c r="Q712" s="29">
        <f t="shared" si="181"/>
        <v>0</v>
      </c>
      <c r="R712" s="210"/>
      <c r="S712" s="210"/>
      <c r="Z712" s="209"/>
      <c r="AA712" s="209"/>
      <c r="IQ712" s="80"/>
      <c r="IR712" s="80"/>
      <c r="IS712" s="80"/>
      <c r="IT712" s="80"/>
      <c r="IU712" s="80"/>
    </row>
    <row r="713" spans="2:255" s="77" customFormat="1" ht="16.5" customHeight="1" hidden="1">
      <c r="B713" s="38" t="s">
        <v>49</v>
      </c>
      <c r="C713" s="65"/>
      <c r="D713" s="88">
        <f>G713+J713+M713+P713</f>
        <v>1604</v>
      </c>
      <c r="E713" s="141">
        <v>0</v>
      </c>
      <c r="F713" s="142"/>
      <c r="G713" s="33">
        <f>E713+F713</f>
        <v>0</v>
      </c>
      <c r="H713" s="143">
        <f>D713-E713</f>
        <v>1604</v>
      </c>
      <c r="I713" s="144"/>
      <c r="J713" s="33">
        <v>1604</v>
      </c>
      <c r="K713" s="143">
        <v>0</v>
      </c>
      <c r="L713" s="144"/>
      <c r="M713" s="33">
        <f>K713+L713</f>
        <v>0</v>
      </c>
      <c r="N713" s="143">
        <v>0</v>
      </c>
      <c r="O713" s="144"/>
      <c r="P713" s="33">
        <f>N713+O713</f>
        <v>0</v>
      </c>
      <c r="Q713" s="29">
        <f t="shared" si="181"/>
        <v>1604</v>
      </c>
      <c r="R713" s="210"/>
      <c r="S713" s="210"/>
      <c r="Z713" s="209"/>
      <c r="AA713" s="209"/>
      <c r="IQ713" s="80"/>
      <c r="IR713" s="80"/>
      <c r="IS713" s="80"/>
      <c r="IT713" s="80"/>
      <c r="IU713" s="80"/>
    </row>
    <row r="714" spans="2:255" s="77" customFormat="1" ht="16.5" customHeight="1" hidden="1">
      <c r="B714" s="38" t="s">
        <v>57</v>
      </c>
      <c r="C714" s="65"/>
      <c r="D714" s="88">
        <f>G714+J714+M714+P714</f>
        <v>0</v>
      </c>
      <c r="E714" s="91">
        <f>D714</f>
        <v>0</v>
      </c>
      <c r="F714" s="92"/>
      <c r="G714" s="33">
        <v>0</v>
      </c>
      <c r="H714" s="91">
        <v>0</v>
      </c>
      <c r="I714" s="92"/>
      <c r="J714" s="33">
        <f>H714+I714</f>
        <v>0</v>
      </c>
      <c r="K714" s="91">
        <v>0</v>
      </c>
      <c r="L714" s="92"/>
      <c r="M714" s="33">
        <f>K714+L714</f>
        <v>0</v>
      </c>
      <c r="N714" s="91">
        <v>0</v>
      </c>
      <c r="O714" s="92"/>
      <c r="P714" s="33">
        <f>N714+O714</f>
        <v>0</v>
      </c>
      <c r="Q714" s="29">
        <f t="shared" si="181"/>
        <v>0</v>
      </c>
      <c r="R714" s="210"/>
      <c r="S714" s="210"/>
      <c r="Z714" s="209"/>
      <c r="AA714" s="209"/>
      <c r="IQ714" s="80"/>
      <c r="IR714" s="80"/>
      <c r="IS714" s="80"/>
      <c r="IT714" s="80"/>
      <c r="IU714" s="80"/>
    </row>
    <row r="715" spans="2:255" s="77" customFormat="1" ht="30" hidden="1">
      <c r="B715" s="49" t="s">
        <v>41</v>
      </c>
      <c r="C715" s="65"/>
      <c r="D715" s="88">
        <f>G715+J715+M715+P715</f>
        <v>0</v>
      </c>
      <c r="E715" s="82">
        <f>E708+(E706+E707)*2/100</f>
        <v>33.12</v>
      </c>
      <c r="F715" s="83"/>
      <c r="G715" s="33">
        <v>0</v>
      </c>
      <c r="H715" s="82">
        <f>H708+(H706+H707)*2/100</f>
        <v>99.3</v>
      </c>
      <c r="I715" s="83"/>
      <c r="J715" s="33">
        <v>0</v>
      </c>
      <c r="K715" s="82">
        <f>K708+(K706+K707)*2/100</f>
        <v>0</v>
      </c>
      <c r="L715" s="83"/>
      <c r="M715" s="33">
        <f>K715+L715</f>
        <v>0</v>
      </c>
      <c r="N715" s="82">
        <f>N708+(N706+N707)*2/100</f>
        <v>0</v>
      </c>
      <c r="O715" s="83"/>
      <c r="P715" s="33">
        <f>N715+O715</f>
        <v>0</v>
      </c>
      <c r="Q715" s="29">
        <f t="shared" si="181"/>
        <v>0</v>
      </c>
      <c r="R715" s="212"/>
      <c r="S715" s="212"/>
      <c r="T715" s="93"/>
      <c r="Z715" s="209"/>
      <c r="AA715" s="209"/>
      <c r="IQ715" s="80"/>
      <c r="IR715" s="80"/>
      <c r="IS715" s="80"/>
      <c r="IT715" s="80"/>
      <c r="IU715" s="80"/>
    </row>
    <row r="716" spans="1:255" s="77" customFormat="1" ht="30" customHeight="1" hidden="1">
      <c r="A716" s="77">
        <v>57</v>
      </c>
      <c r="B716" s="104" t="s">
        <v>155</v>
      </c>
      <c r="C716" s="28" t="s">
        <v>161</v>
      </c>
      <c r="D716" s="41">
        <f>D717+D718+D719</f>
        <v>0</v>
      </c>
      <c r="E716" s="41">
        <f>E717+E718+E719</f>
        <v>6873</v>
      </c>
      <c r="F716" s="42"/>
      <c r="G716" s="41">
        <f>G717+G718+G719</f>
        <v>0</v>
      </c>
      <c r="H716" s="41">
        <f>H717+H718+H719</f>
        <v>79895</v>
      </c>
      <c r="I716" s="42"/>
      <c r="J716" s="41">
        <f>J717+J718+J719</f>
        <v>0</v>
      </c>
      <c r="K716" s="41">
        <f>K717+K718+K719</f>
        <v>5553</v>
      </c>
      <c r="L716" s="42"/>
      <c r="M716" s="41">
        <f>M717+M718+M719</f>
        <v>0</v>
      </c>
      <c r="N716" s="41">
        <f>N717+N718+N719</f>
        <v>0</v>
      </c>
      <c r="O716" s="42"/>
      <c r="P716" s="41">
        <f>P717+P718+P719</f>
        <v>0</v>
      </c>
      <c r="Q716" s="29">
        <f t="shared" si="181"/>
        <v>0</v>
      </c>
      <c r="R716" s="139"/>
      <c r="S716" s="139"/>
      <c r="T716" s="96"/>
      <c r="Z716" s="209"/>
      <c r="AA716" s="209"/>
      <c r="IQ716" s="80"/>
      <c r="IR716" s="80"/>
      <c r="IS716" s="80"/>
      <c r="IT716" s="80"/>
      <c r="IU716" s="80"/>
    </row>
    <row r="717" spans="2:255" s="77" customFormat="1" ht="14.25" customHeight="1" hidden="1">
      <c r="B717" s="43" t="s">
        <v>44</v>
      </c>
      <c r="C717" s="65"/>
      <c r="D717" s="82">
        <f>G717+J717+M717+P717</f>
        <v>0</v>
      </c>
      <c r="E717" s="82">
        <v>1031</v>
      </c>
      <c r="F717" s="83"/>
      <c r="G717" s="29">
        <v>0</v>
      </c>
      <c r="H717" s="82">
        <f>9798+316</f>
        <v>10114</v>
      </c>
      <c r="I717" s="83"/>
      <c r="J717" s="29">
        <v>0</v>
      </c>
      <c r="K717" s="82">
        <v>700</v>
      </c>
      <c r="L717" s="83"/>
      <c r="M717" s="29">
        <v>0</v>
      </c>
      <c r="N717" s="82">
        <v>0</v>
      </c>
      <c r="O717" s="83"/>
      <c r="P717" s="29">
        <f aca="true" t="shared" si="182" ref="P717:P735">N717+O717</f>
        <v>0</v>
      </c>
      <c r="Q717" s="29">
        <f t="shared" si="181"/>
        <v>0</v>
      </c>
      <c r="R717" s="239"/>
      <c r="S717" s="239"/>
      <c r="T717" s="240"/>
      <c r="Z717" s="209"/>
      <c r="AA717" s="209"/>
      <c r="IQ717" s="80"/>
      <c r="IR717" s="80"/>
      <c r="IS717" s="80"/>
      <c r="IT717" s="80"/>
      <c r="IU717" s="80"/>
    </row>
    <row r="718" spans="2:255" s="77" customFormat="1" ht="16.5" customHeight="1" hidden="1">
      <c r="B718" s="38" t="s">
        <v>45</v>
      </c>
      <c r="C718" s="65"/>
      <c r="D718" s="82">
        <f>G718+J718+M718+P718</f>
        <v>0</v>
      </c>
      <c r="E718" s="82">
        <v>5842</v>
      </c>
      <c r="F718" s="83"/>
      <c r="G718" s="29">
        <v>0</v>
      </c>
      <c r="H718" s="82">
        <f>55519+1795</f>
        <v>57314</v>
      </c>
      <c r="I718" s="83"/>
      <c r="J718" s="29">
        <v>0</v>
      </c>
      <c r="K718" s="82">
        <v>3966</v>
      </c>
      <c r="L718" s="83"/>
      <c r="M718" s="29">
        <v>0</v>
      </c>
      <c r="N718" s="82">
        <v>0</v>
      </c>
      <c r="O718" s="83"/>
      <c r="P718" s="29">
        <f t="shared" si="182"/>
        <v>0</v>
      </c>
      <c r="Q718" s="29">
        <f t="shared" si="181"/>
        <v>0</v>
      </c>
      <c r="R718" s="239"/>
      <c r="S718" s="239"/>
      <c r="T718" s="240"/>
      <c r="Z718" s="209"/>
      <c r="AA718" s="209"/>
      <c r="IQ718" s="80"/>
      <c r="IR718" s="80"/>
      <c r="IS718" s="80"/>
      <c r="IT718" s="80"/>
      <c r="IU718" s="80"/>
    </row>
    <row r="719" spans="2:255" s="77" customFormat="1" ht="15.75" customHeight="1" hidden="1">
      <c r="B719" s="38" t="s">
        <v>46</v>
      </c>
      <c r="C719" s="65"/>
      <c r="D719" s="82">
        <f>G719+J719+M719+P719</f>
        <v>0</v>
      </c>
      <c r="E719" s="82">
        <v>0</v>
      </c>
      <c r="F719" s="83"/>
      <c r="G719" s="29">
        <v>0</v>
      </c>
      <c r="H719" s="82">
        <f>12410+57</f>
        <v>12467</v>
      </c>
      <c r="I719" s="83"/>
      <c r="J719" s="29">
        <v>0</v>
      </c>
      <c r="K719" s="82">
        <v>887</v>
      </c>
      <c r="L719" s="83"/>
      <c r="M719" s="29">
        <v>0</v>
      </c>
      <c r="N719" s="82">
        <v>0</v>
      </c>
      <c r="O719" s="83"/>
      <c r="P719" s="29">
        <f t="shared" si="182"/>
        <v>0</v>
      </c>
      <c r="Q719" s="29">
        <f t="shared" si="181"/>
        <v>0</v>
      </c>
      <c r="R719" s="139"/>
      <c r="S719" s="139"/>
      <c r="T719" s="98"/>
      <c r="Z719" s="209"/>
      <c r="AA719" s="209"/>
      <c r="IQ719" s="80"/>
      <c r="IR719" s="80"/>
      <c r="IS719" s="80"/>
      <c r="IT719" s="80"/>
      <c r="IU719" s="80"/>
    </row>
    <row r="720" spans="2:255" s="77" customFormat="1" ht="16.5" customHeight="1" hidden="1">
      <c r="B720" s="38"/>
      <c r="C720" s="65"/>
      <c r="D720" s="82"/>
      <c r="E720" s="82"/>
      <c r="F720" s="83"/>
      <c r="G720" s="29">
        <f>E720+F720</f>
        <v>0</v>
      </c>
      <c r="H720" s="82"/>
      <c r="I720" s="83"/>
      <c r="J720" s="29">
        <f>H720+I720</f>
        <v>0</v>
      </c>
      <c r="K720" s="82"/>
      <c r="L720" s="83"/>
      <c r="M720" s="29">
        <f>K720+L720</f>
        <v>0</v>
      </c>
      <c r="N720" s="82"/>
      <c r="O720" s="83"/>
      <c r="P720" s="29">
        <f t="shared" si="182"/>
        <v>0</v>
      </c>
      <c r="Q720" s="29">
        <f t="shared" si="181"/>
        <v>0</v>
      </c>
      <c r="R720" s="213"/>
      <c r="S720" s="215"/>
      <c r="T720" s="98"/>
      <c r="Z720" s="209"/>
      <c r="AA720" s="209"/>
      <c r="IQ720" s="80"/>
      <c r="IR720" s="80"/>
      <c r="IS720" s="80"/>
      <c r="IT720" s="80"/>
      <c r="IU720" s="80"/>
    </row>
    <row r="721" spans="2:255" s="77" customFormat="1" ht="16.5" customHeight="1" hidden="1">
      <c r="B721" s="38"/>
      <c r="C721" s="65"/>
      <c r="D721" s="88">
        <f>D722+D723+D724+D726+D725</f>
        <v>2754</v>
      </c>
      <c r="E721" s="88">
        <f>E722+E723+E724+E726+E725</f>
        <v>137.46</v>
      </c>
      <c r="F721" s="89"/>
      <c r="G721" s="29">
        <f>G722+G723+G724+G725</f>
        <v>0</v>
      </c>
      <c r="H721" s="88">
        <f>H722+H723+H724+H726+H725</f>
        <v>86630.45</v>
      </c>
      <c r="I721" s="89">
        <f>I723+I726</f>
        <v>0</v>
      </c>
      <c r="J721" s="29">
        <f>J722+J723+J724+J725</f>
        <v>2754</v>
      </c>
      <c r="K721" s="88">
        <f>K722+K723+K724+K726+K725</f>
        <v>5553</v>
      </c>
      <c r="L721" s="89"/>
      <c r="M721" s="29">
        <f>M722+M723+M724+M725</f>
        <v>0</v>
      </c>
      <c r="N721" s="88">
        <f>N722+N723+N724+N726+N725</f>
        <v>0</v>
      </c>
      <c r="O721" s="89"/>
      <c r="P721" s="29">
        <f t="shared" si="182"/>
        <v>0</v>
      </c>
      <c r="Q721" s="29">
        <f t="shared" si="181"/>
        <v>2754</v>
      </c>
      <c r="R721" s="214"/>
      <c r="S721" s="214"/>
      <c r="T721" s="99"/>
      <c r="Z721" s="209"/>
      <c r="AA721" s="209"/>
      <c r="IQ721" s="80"/>
      <c r="IR721" s="80"/>
      <c r="IS721" s="80"/>
      <c r="IT721" s="80"/>
      <c r="IU721" s="80"/>
    </row>
    <row r="722" spans="2:255" s="77" customFormat="1" ht="16.5" customHeight="1" hidden="1">
      <c r="B722" s="38" t="s">
        <v>47</v>
      </c>
      <c r="C722" s="65"/>
      <c r="D722" s="91">
        <f>G722+J722+M722+P722</f>
        <v>2754</v>
      </c>
      <c r="E722" s="82">
        <v>0</v>
      </c>
      <c r="F722" s="83"/>
      <c r="G722" s="29">
        <f>E722+F722</f>
        <v>0</v>
      </c>
      <c r="H722" s="82">
        <f>(H717+H718+E717+E718)*0.13+E719+H719</f>
        <v>22126.13</v>
      </c>
      <c r="I722" s="83"/>
      <c r="J722" s="29">
        <v>2754</v>
      </c>
      <c r="K722" s="82">
        <f>(K717+K718)*0.13+K719</f>
        <v>1493.58</v>
      </c>
      <c r="L722" s="83"/>
      <c r="M722" s="29">
        <v>0</v>
      </c>
      <c r="N722" s="82">
        <f>(N717+N718)*0.13</f>
        <v>0</v>
      </c>
      <c r="O722" s="83"/>
      <c r="P722" s="29">
        <f t="shared" si="182"/>
        <v>0</v>
      </c>
      <c r="Q722" s="29">
        <f t="shared" si="181"/>
        <v>2754</v>
      </c>
      <c r="R722" s="210"/>
      <c r="S722" s="210"/>
      <c r="Z722" s="209"/>
      <c r="AA722" s="209"/>
      <c r="IQ722" s="80"/>
      <c r="IR722" s="80"/>
      <c r="IS722" s="80"/>
      <c r="IT722" s="80"/>
      <c r="IU722" s="80"/>
    </row>
    <row r="723" spans="2:255" s="77" customFormat="1" ht="16.5" customHeight="1" hidden="1">
      <c r="B723" s="38" t="s">
        <v>48</v>
      </c>
      <c r="C723" s="65"/>
      <c r="D723" s="91">
        <f>G723+J723+M723+P723</f>
        <v>0</v>
      </c>
      <c r="E723" s="82">
        <v>0</v>
      </c>
      <c r="F723" s="83"/>
      <c r="G723" s="29">
        <f>E723+F723</f>
        <v>0</v>
      </c>
      <c r="H723" s="82">
        <f>(H717+H718+E717+E718)*0.85-D725-H724</f>
        <v>63155.85</v>
      </c>
      <c r="I723" s="83">
        <v>282</v>
      </c>
      <c r="J723" s="29">
        <v>0</v>
      </c>
      <c r="K723" s="82">
        <f>(K717+K718)*0.85</f>
        <v>3966.1</v>
      </c>
      <c r="L723" s="83"/>
      <c r="M723" s="29">
        <v>0</v>
      </c>
      <c r="N723" s="82">
        <f>(N717+N718)*0.85</f>
        <v>0</v>
      </c>
      <c r="O723" s="83"/>
      <c r="P723" s="29">
        <f t="shared" si="182"/>
        <v>0</v>
      </c>
      <c r="Q723" s="29">
        <f t="shared" si="181"/>
        <v>0</v>
      </c>
      <c r="R723" s="210"/>
      <c r="S723" s="210"/>
      <c r="Z723" s="209"/>
      <c r="AA723" s="209"/>
      <c r="IQ723" s="80"/>
      <c r="IR723" s="80"/>
      <c r="IS723" s="80"/>
      <c r="IT723" s="80"/>
      <c r="IU723" s="80"/>
    </row>
    <row r="724" spans="2:255" s="77" customFormat="1" ht="16.5" customHeight="1" hidden="1">
      <c r="B724" s="38" t="s">
        <v>49</v>
      </c>
      <c r="C724" s="65"/>
      <c r="D724" s="91">
        <f>G724+J724+M724+P724</f>
        <v>0</v>
      </c>
      <c r="E724" s="141">
        <v>0</v>
      </c>
      <c r="F724" s="142"/>
      <c r="G724" s="29">
        <v>0</v>
      </c>
      <c r="H724" s="141">
        <f>D724-E724</f>
        <v>0</v>
      </c>
      <c r="I724" s="142"/>
      <c r="J724" s="29">
        <v>0</v>
      </c>
      <c r="K724" s="141">
        <v>0</v>
      </c>
      <c r="L724" s="142"/>
      <c r="M724" s="29">
        <v>0</v>
      </c>
      <c r="N724" s="141">
        <v>0</v>
      </c>
      <c r="O724" s="142"/>
      <c r="P724" s="29">
        <f t="shared" si="182"/>
        <v>0</v>
      </c>
      <c r="Q724" s="29">
        <f t="shared" si="181"/>
        <v>0</v>
      </c>
      <c r="R724" s="210"/>
      <c r="S724" s="210"/>
      <c r="Z724" s="209"/>
      <c r="AA724" s="209"/>
      <c r="IQ724" s="80"/>
      <c r="IR724" s="80"/>
      <c r="IS724" s="80"/>
      <c r="IT724" s="80"/>
      <c r="IU724" s="80"/>
    </row>
    <row r="725" spans="2:255" s="77" customFormat="1" ht="16.5" customHeight="1" hidden="1">
      <c r="B725" s="38" t="s">
        <v>57</v>
      </c>
      <c r="C725" s="65"/>
      <c r="D725" s="91">
        <f>G725+J725+M725+P725</f>
        <v>0</v>
      </c>
      <c r="E725" s="91">
        <f>D725</f>
        <v>0</v>
      </c>
      <c r="F725" s="92"/>
      <c r="G725" s="29">
        <v>0</v>
      </c>
      <c r="H725" s="91">
        <v>0</v>
      </c>
      <c r="I725" s="92"/>
      <c r="J725" s="29">
        <v>0</v>
      </c>
      <c r="K725" s="91">
        <v>0</v>
      </c>
      <c r="L725" s="92"/>
      <c r="M725" s="29">
        <v>0</v>
      </c>
      <c r="N725" s="91">
        <v>0</v>
      </c>
      <c r="O725" s="92"/>
      <c r="P725" s="29">
        <f t="shared" si="182"/>
        <v>0</v>
      </c>
      <c r="Q725" s="29">
        <f t="shared" si="181"/>
        <v>0</v>
      </c>
      <c r="R725" s="210"/>
      <c r="S725" s="210"/>
      <c r="Z725" s="209"/>
      <c r="AA725" s="209"/>
      <c r="IQ725" s="80"/>
      <c r="IR725" s="80"/>
      <c r="IS725" s="80"/>
      <c r="IT725" s="80"/>
      <c r="IU725" s="80"/>
    </row>
    <row r="726" spans="2:255" s="77" customFormat="1" ht="30" hidden="1">
      <c r="B726" s="49" t="s">
        <v>41</v>
      </c>
      <c r="C726" s="65"/>
      <c r="D726" s="91">
        <f>G726+J726+M726+P726</f>
        <v>0</v>
      </c>
      <c r="E726" s="82">
        <f>(E717+E718)*2/100</f>
        <v>137.46</v>
      </c>
      <c r="F726" s="83"/>
      <c r="G726" s="29">
        <v>0</v>
      </c>
      <c r="H726" s="82">
        <f>(H717+H718)*2/100-0.09</f>
        <v>1348.47</v>
      </c>
      <c r="I726" s="83">
        <v>-282</v>
      </c>
      <c r="J726" s="29">
        <v>0</v>
      </c>
      <c r="K726" s="82">
        <f>(K717+K718)*2/100</f>
        <v>93.32</v>
      </c>
      <c r="L726" s="83"/>
      <c r="M726" s="29">
        <v>0</v>
      </c>
      <c r="N726" s="82">
        <f>(N717+N718)*2/100</f>
        <v>0</v>
      </c>
      <c r="O726" s="83"/>
      <c r="P726" s="29">
        <f t="shared" si="182"/>
        <v>0</v>
      </c>
      <c r="Q726" s="29">
        <f t="shared" si="181"/>
        <v>0</v>
      </c>
      <c r="R726" s="219"/>
      <c r="S726" s="212"/>
      <c r="T726" s="93"/>
      <c r="Z726" s="209"/>
      <c r="AA726" s="209"/>
      <c r="IQ726" s="80"/>
      <c r="IR726" s="80"/>
      <c r="IS726" s="80"/>
      <c r="IT726" s="80"/>
      <c r="IU726" s="80"/>
    </row>
    <row r="727" spans="1:255" s="93" customFormat="1" ht="31.5" customHeight="1">
      <c r="A727" s="93">
        <v>67</v>
      </c>
      <c r="B727" s="78" t="s">
        <v>155</v>
      </c>
      <c r="C727" s="78" t="s">
        <v>162</v>
      </c>
      <c r="D727" s="101">
        <f>D728+D729+D730</f>
        <v>2067</v>
      </c>
      <c r="E727" s="101">
        <f>E728+E729+E730</f>
        <v>0</v>
      </c>
      <c r="F727" s="102"/>
      <c r="G727" s="29">
        <f aca="true" t="shared" si="183" ref="G727:G735">E727+F727</f>
        <v>0</v>
      </c>
      <c r="H727" s="101">
        <f>H728+H729+H730</f>
        <v>12</v>
      </c>
      <c r="I727" s="102"/>
      <c r="J727" s="29">
        <f>J728+J730</f>
        <v>56</v>
      </c>
      <c r="K727" s="101">
        <f>K728+K729+K730</f>
        <v>44</v>
      </c>
      <c r="L727" s="102"/>
      <c r="M727" s="29">
        <f>M728+M730</f>
        <v>2011</v>
      </c>
      <c r="N727" s="101">
        <f>N728+N729+N730</f>
        <v>0</v>
      </c>
      <c r="O727" s="102"/>
      <c r="P727" s="29">
        <f t="shared" si="182"/>
        <v>0</v>
      </c>
      <c r="Q727" s="29">
        <f t="shared" si="181"/>
        <v>2067</v>
      </c>
      <c r="R727" s="212"/>
      <c r="S727" s="212"/>
      <c r="Z727" s="233">
        <v>0</v>
      </c>
      <c r="AA727" s="226">
        <f>D727+Z727</f>
        <v>2067</v>
      </c>
      <c r="IQ727" s="95"/>
      <c r="IR727" s="95"/>
      <c r="IS727" s="95"/>
      <c r="IT727" s="95"/>
      <c r="IU727" s="95"/>
    </row>
    <row r="728" spans="2:255" s="93" customFormat="1" ht="16.5" customHeight="1">
      <c r="B728" s="31" t="s">
        <v>22</v>
      </c>
      <c r="C728" s="32" t="s">
        <v>23</v>
      </c>
      <c r="D728" s="193">
        <f>G728+J728+M728+P728</f>
        <v>1737</v>
      </c>
      <c r="E728" s="110"/>
      <c r="F728" s="111"/>
      <c r="G728" s="33">
        <f t="shared" si="183"/>
        <v>0</v>
      </c>
      <c r="H728" s="110">
        <v>10</v>
      </c>
      <c r="I728" s="111"/>
      <c r="J728" s="33">
        <v>47</v>
      </c>
      <c r="K728" s="110">
        <v>37</v>
      </c>
      <c r="L728" s="111"/>
      <c r="M728" s="33">
        <f>1737-47</f>
        <v>1690</v>
      </c>
      <c r="N728" s="110"/>
      <c r="O728" s="111"/>
      <c r="P728" s="33">
        <f t="shared" si="182"/>
        <v>0</v>
      </c>
      <c r="Q728" s="29">
        <f t="shared" si="181"/>
        <v>1737</v>
      </c>
      <c r="R728" s="212"/>
      <c r="S728" s="212"/>
      <c r="Z728" s="209">
        <v>0</v>
      </c>
      <c r="AA728" s="130">
        <f>D728+Z728</f>
        <v>1737</v>
      </c>
      <c r="IQ728" s="95"/>
      <c r="IR728" s="95"/>
      <c r="IS728" s="95"/>
      <c r="IT728" s="95"/>
      <c r="IU728" s="95"/>
    </row>
    <row r="729" spans="2:255" s="93" customFormat="1" ht="16.5" customHeight="1">
      <c r="B729" s="31" t="s">
        <v>24</v>
      </c>
      <c r="C729" s="32" t="s">
        <v>25</v>
      </c>
      <c r="D729" s="193">
        <f>G729+J729+M729+P729</f>
        <v>0</v>
      </c>
      <c r="E729" s="110"/>
      <c r="F729" s="111"/>
      <c r="G729" s="33">
        <f t="shared" si="183"/>
        <v>0</v>
      </c>
      <c r="H729" s="110"/>
      <c r="I729" s="111"/>
      <c r="J729" s="33">
        <f>H729+I729</f>
        <v>0</v>
      </c>
      <c r="K729" s="110"/>
      <c r="L729" s="111"/>
      <c r="M729" s="33">
        <v>0</v>
      </c>
      <c r="N729" s="110"/>
      <c r="O729" s="111"/>
      <c r="P729" s="33">
        <f t="shared" si="182"/>
        <v>0</v>
      </c>
      <c r="Q729" s="29">
        <f t="shared" si="181"/>
        <v>0</v>
      </c>
      <c r="R729" s="212"/>
      <c r="S729" s="212"/>
      <c r="Z729" s="209">
        <v>0</v>
      </c>
      <c r="AA729" s="130">
        <f>D729+Z729</f>
        <v>0</v>
      </c>
      <c r="IQ729" s="95"/>
      <c r="IR729" s="95"/>
      <c r="IS729" s="95"/>
      <c r="IT729" s="95"/>
      <c r="IU729" s="95"/>
    </row>
    <row r="730" spans="2:255" s="93" customFormat="1" ht="16.5" customHeight="1">
      <c r="B730" s="37" t="s">
        <v>26</v>
      </c>
      <c r="C730" s="32" t="s">
        <v>27</v>
      </c>
      <c r="D730" s="193">
        <f>G730+J730+M730+P730</f>
        <v>330</v>
      </c>
      <c r="E730" s="110"/>
      <c r="F730" s="111"/>
      <c r="G730" s="33">
        <f t="shared" si="183"/>
        <v>0</v>
      </c>
      <c r="H730" s="110">
        <v>2</v>
      </c>
      <c r="I730" s="111"/>
      <c r="J730" s="33">
        <v>9</v>
      </c>
      <c r="K730" s="110">
        <v>7</v>
      </c>
      <c r="L730" s="111"/>
      <c r="M730" s="33">
        <f>330-9</f>
        <v>321</v>
      </c>
      <c r="N730" s="110"/>
      <c r="O730" s="111"/>
      <c r="P730" s="33">
        <f t="shared" si="182"/>
        <v>0</v>
      </c>
      <c r="Q730" s="29">
        <f t="shared" si="181"/>
        <v>330</v>
      </c>
      <c r="R730" s="212"/>
      <c r="S730" s="212"/>
      <c r="Z730" s="209">
        <v>0</v>
      </c>
      <c r="AA730" s="130">
        <f>D730+Z730</f>
        <v>330</v>
      </c>
      <c r="IQ730" s="95"/>
      <c r="IR730" s="95"/>
      <c r="IS730" s="95"/>
      <c r="IT730" s="95"/>
      <c r="IU730" s="95"/>
    </row>
    <row r="731" spans="2:255" s="93" customFormat="1" ht="16.5" customHeight="1" hidden="1">
      <c r="B731" s="37"/>
      <c r="C731" s="135"/>
      <c r="D731" s="70"/>
      <c r="E731" s="110"/>
      <c r="F731" s="111"/>
      <c r="G731" s="33">
        <f t="shared" si="183"/>
        <v>0</v>
      </c>
      <c r="H731" s="110"/>
      <c r="I731" s="111"/>
      <c r="J731" s="33">
        <f>H731+I731</f>
        <v>0</v>
      </c>
      <c r="K731" s="110"/>
      <c r="L731" s="111"/>
      <c r="M731" s="33">
        <f>K731+L731</f>
        <v>0</v>
      </c>
      <c r="N731" s="110"/>
      <c r="O731" s="111"/>
      <c r="P731" s="33">
        <f t="shared" si="182"/>
        <v>0</v>
      </c>
      <c r="Q731" s="29">
        <f t="shared" si="181"/>
        <v>0</v>
      </c>
      <c r="R731" s="40"/>
      <c r="S731" s="212"/>
      <c r="Z731" s="216"/>
      <c r="AA731" s="216"/>
      <c r="IQ731" s="95"/>
      <c r="IR731" s="95"/>
      <c r="IS731" s="95"/>
      <c r="IT731" s="95"/>
      <c r="IU731" s="95"/>
    </row>
    <row r="732" spans="2:255" s="93" customFormat="1" ht="16.5" customHeight="1" hidden="1">
      <c r="B732" s="136"/>
      <c r="C732" s="103"/>
      <c r="D732" s="70">
        <f>D733+D734+D735</f>
        <v>2067</v>
      </c>
      <c r="E732" s="70">
        <f>E733+E734+E735</f>
        <v>0</v>
      </c>
      <c r="F732" s="71"/>
      <c r="G732" s="29">
        <f t="shared" si="183"/>
        <v>0</v>
      </c>
      <c r="H732" s="70">
        <f>H733+H734+H735</f>
        <v>12</v>
      </c>
      <c r="I732" s="71"/>
      <c r="J732" s="29">
        <f>J733+J735</f>
        <v>56</v>
      </c>
      <c r="K732" s="70">
        <f>K733+K734+K735</f>
        <v>44</v>
      </c>
      <c r="L732" s="71"/>
      <c r="M732" s="29">
        <f>M733+M735</f>
        <v>2011</v>
      </c>
      <c r="N732" s="70">
        <f>N733+N734+N735</f>
        <v>0</v>
      </c>
      <c r="O732" s="71"/>
      <c r="P732" s="29">
        <f t="shared" si="182"/>
        <v>0</v>
      </c>
      <c r="Q732" s="29">
        <f t="shared" si="181"/>
        <v>2067</v>
      </c>
      <c r="R732" s="40"/>
      <c r="S732" s="212"/>
      <c r="Z732" s="216"/>
      <c r="AA732" s="216"/>
      <c r="IQ732" s="95"/>
      <c r="IR732" s="95"/>
      <c r="IS732" s="95"/>
      <c r="IT732" s="95"/>
      <c r="IU732" s="95"/>
    </row>
    <row r="733" spans="2:255" s="93" customFormat="1" ht="16.5" customHeight="1" hidden="1">
      <c r="B733" s="37" t="s">
        <v>28</v>
      </c>
      <c r="C733" s="40" t="s">
        <v>23</v>
      </c>
      <c r="D733" s="70">
        <f>G733+J733+M733+P733</f>
        <v>1737</v>
      </c>
      <c r="E733" s="110"/>
      <c r="F733" s="111"/>
      <c r="G733" s="33">
        <f t="shared" si="183"/>
        <v>0</v>
      </c>
      <c r="H733" s="110">
        <f>H728</f>
        <v>10</v>
      </c>
      <c r="I733" s="111"/>
      <c r="J733" s="33">
        <f>J728</f>
        <v>47</v>
      </c>
      <c r="K733" s="110">
        <f>K728</f>
        <v>37</v>
      </c>
      <c r="L733" s="111"/>
      <c r="M733" s="33">
        <f>M728</f>
        <v>1690</v>
      </c>
      <c r="N733" s="110"/>
      <c r="O733" s="111"/>
      <c r="P733" s="33">
        <f t="shared" si="182"/>
        <v>0</v>
      </c>
      <c r="Q733" s="29">
        <f t="shared" si="181"/>
        <v>1737</v>
      </c>
      <c r="R733" s="40"/>
      <c r="S733" s="212"/>
      <c r="Z733" s="216"/>
      <c r="AA733" s="216"/>
      <c r="IQ733" s="95"/>
      <c r="IR733" s="95"/>
      <c r="IS733" s="95"/>
      <c r="IT733" s="95"/>
      <c r="IU733" s="95"/>
    </row>
    <row r="734" spans="2:255" s="93" customFormat="1" ht="16.5" customHeight="1" hidden="1">
      <c r="B734" s="37" t="s">
        <v>29</v>
      </c>
      <c r="C734" s="40" t="s">
        <v>30</v>
      </c>
      <c r="D734" s="70">
        <f>G734+J734+M734+P734</f>
        <v>0</v>
      </c>
      <c r="E734" s="110"/>
      <c r="F734" s="111"/>
      <c r="G734" s="33">
        <f t="shared" si="183"/>
        <v>0</v>
      </c>
      <c r="H734" s="110"/>
      <c r="I734" s="111"/>
      <c r="J734" s="33">
        <f>H734+I734</f>
        <v>0</v>
      </c>
      <c r="K734" s="110"/>
      <c r="L734" s="111"/>
      <c r="M734" s="33">
        <f>K734+L734</f>
        <v>0</v>
      </c>
      <c r="N734" s="110"/>
      <c r="O734" s="111"/>
      <c r="P734" s="33">
        <f t="shared" si="182"/>
        <v>0</v>
      </c>
      <c r="Q734" s="29">
        <f t="shared" si="181"/>
        <v>0</v>
      </c>
      <c r="R734" s="212"/>
      <c r="S734" s="212"/>
      <c r="Z734" s="216"/>
      <c r="AA734" s="216"/>
      <c r="IQ734" s="95"/>
      <c r="IR734" s="95"/>
      <c r="IS734" s="95"/>
      <c r="IT734" s="95"/>
      <c r="IU734" s="95"/>
    </row>
    <row r="735" spans="2:255" s="93" customFormat="1" ht="16.5" customHeight="1" hidden="1">
      <c r="B735" s="37" t="s">
        <v>31</v>
      </c>
      <c r="C735" s="40" t="s">
        <v>27</v>
      </c>
      <c r="D735" s="70">
        <f>G735+J735+M735+P735</f>
        <v>330</v>
      </c>
      <c r="E735" s="110"/>
      <c r="F735" s="111"/>
      <c r="G735" s="33">
        <f t="shared" si="183"/>
        <v>0</v>
      </c>
      <c r="H735" s="110">
        <f>H730</f>
        <v>2</v>
      </c>
      <c r="I735" s="111"/>
      <c r="J735" s="33">
        <f>J730</f>
        <v>9</v>
      </c>
      <c r="K735" s="110">
        <f>K730</f>
        <v>7</v>
      </c>
      <c r="L735" s="111"/>
      <c r="M735" s="33">
        <f>M730</f>
        <v>321</v>
      </c>
      <c r="N735" s="110"/>
      <c r="O735" s="111"/>
      <c r="P735" s="33">
        <f t="shared" si="182"/>
        <v>0</v>
      </c>
      <c r="Q735" s="29">
        <f t="shared" si="181"/>
        <v>330</v>
      </c>
      <c r="R735" s="212"/>
      <c r="S735" s="212"/>
      <c r="Z735" s="216"/>
      <c r="AA735" s="216"/>
      <c r="IQ735" s="95"/>
      <c r="IR735" s="95"/>
      <c r="IS735" s="95"/>
      <c r="IT735" s="95"/>
      <c r="IU735" s="95"/>
    </row>
    <row r="736" spans="2:255" s="87" customFormat="1" ht="16.5" customHeight="1">
      <c r="B736" s="241" t="s">
        <v>163</v>
      </c>
      <c r="C736" s="241"/>
      <c r="D736" s="114">
        <f aca="true" t="shared" si="184" ref="D736:Q736">D667+D678+D689+D694+D705+D716+D727</f>
        <v>5474</v>
      </c>
      <c r="E736" s="114">
        <f t="shared" si="184"/>
        <v>107076</v>
      </c>
      <c r="F736" s="114">
        <f t="shared" si="184"/>
        <v>0</v>
      </c>
      <c r="G736" s="114">
        <f t="shared" si="184"/>
        <v>24</v>
      </c>
      <c r="H736" s="114">
        <f t="shared" si="184"/>
        <v>218290</v>
      </c>
      <c r="I736" s="114">
        <f t="shared" si="184"/>
        <v>0</v>
      </c>
      <c r="J736" s="114">
        <f t="shared" si="184"/>
        <v>3439</v>
      </c>
      <c r="K736" s="114">
        <f t="shared" si="184"/>
        <v>34815</v>
      </c>
      <c r="L736" s="114">
        <f t="shared" si="184"/>
        <v>0</v>
      </c>
      <c r="M736" s="114">
        <f t="shared" si="184"/>
        <v>2011</v>
      </c>
      <c r="N736" s="114">
        <f t="shared" si="184"/>
        <v>407</v>
      </c>
      <c r="O736" s="114">
        <f t="shared" si="184"/>
        <v>0</v>
      </c>
      <c r="P736" s="114">
        <f t="shared" si="184"/>
        <v>0</v>
      </c>
      <c r="Q736" s="114">
        <f t="shared" si="184"/>
        <v>5474</v>
      </c>
      <c r="R736" s="211"/>
      <c r="S736" s="211"/>
      <c r="Z736" s="223">
        <v>0</v>
      </c>
      <c r="AA736" s="226">
        <f>D736+Z736</f>
        <v>5474</v>
      </c>
      <c r="IQ736" s="90"/>
      <c r="IR736" s="90"/>
      <c r="IS736" s="90"/>
      <c r="IT736" s="90"/>
      <c r="IU736" s="90"/>
    </row>
    <row r="737" spans="2:252" ht="14.25" customHeight="1">
      <c r="B737" s="145"/>
      <c r="C737" s="16" t="s">
        <v>164</v>
      </c>
      <c r="D737" s="72">
        <f aca="true" t="shared" si="185" ref="D737:Q737">D341+D447+D500+D631+D665+D736+D643+D655</f>
        <v>324220</v>
      </c>
      <c r="E737" s="72">
        <f t="shared" si="185"/>
        <v>155920</v>
      </c>
      <c r="F737" s="72">
        <f t="shared" si="185"/>
        <v>0</v>
      </c>
      <c r="G737" s="72">
        <f t="shared" si="185"/>
        <v>118576</v>
      </c>
      <c r="H737" s="72">
        <f t="shared" si="185"/>
        <v>276317</v>
      </c>
      <c r="I737" s="72">
        <f t="shared" si="185"/>
        <v>0</v>
      </c>
      <c r="J737" s="72">
        <f t="shared" si="185"/>
        <v>113235</v>
      </c>
      <c r="K737" s="72">
        <f t="shared" si="185"/>
        <v>58259</v>
      </c>
      <c r="L737" s="72">
        <f t="shared" si="185"/>
        <v>0</v>
      </c>
      <c r="M737" s="72">
        <f t="shared" si="185"/>
        <v>36737</v>
      </c>
      <c r="N737" s="72">
        <f t="shared" si="185"/>
        <v>9312</v>
      </c>
      <c r="O737" s="72">
        <f t="shared" si="185"/>
        <v>180</v>
      </c>
      <c r="P737" s="72">
        <f t="shared" si="185"/>
        <v>55672</v>
      </c>
      <c r="Q737" s="72" t="e">
        <f t="shared" si="185"/>
        <v>#REF!</v>
      </c>
      <c r="R737" s="161"/>
      <c r="S737" s="161"/>
      <c r="Z737" s="223">
        <f>Z633+Z447</f>
        <v>-712</v>
      </c>
      <c r="AA737" s="226">
        <f>D737+Z737</f>
        <v>323508</v>
      </c>
      <c r="IQ737" s="2"/>
      <c r="IR737" s="2"/>
    </row>
    <row r="738" spans="2:252" ht="14.25" customHeight="1">
      <c r="B738" s="145"/>
      <c r="C738" s="16"/>
      <c r="D738" s="72"/>
      <c r="E738" s="72"/>
      <c r="F738" s="72"/>
      <c r="G738" s="72"/>
      <c r="H738" s="72"/>
      <c r="I738" s="72"/>
      <c r="J738" s="72"/>
      <c r="K738" s="72"/>
      <c r="L738" s="72"/>
      <c r="M738" s="72"/>
      <c r="N738" s="72"/>
      <c r="O738" s="72"/>
      <c r="P738" s="72"/>
      <c r="Q738" s="72"/>
      <c r="R738" s="161"/>
      <c r="S738" s="161"/>
      <c r="Z738" s="208"/>
      <c r="AA738" s="161"/>
      <c r="IQ738" s="2"/>
      <c r="IR738" s="2"/>
    </row>
    <row r="739" spans="2:252" ht="14.25" customHeight="1">
      <c r="B739" s="145"/>
      <c r="C739" s="146" t="s">
        <v>165</v>
      </c>
      <c r="D739" s="147">
        <f aca="true" t="shared" si="186" ref="D739:P739">D663</f>
        <v>0</v>
      </c>
      <c r="E739" s="147">
        <f t="shared" si="186"/>
        <v>0</v>
      </c>
      <c r="F739" s="147">
        <f t="shared" si="186"/>
        <v>0</v>
      </c>
      <c r="G739" s="147">
        <f t="shared" si="186"/>
        <v>0</v>
      </c>
      <c r="H739" s="147">
        <f t="shared" si="186"/>
        <v>0</v>
      </c>
      <c r="I739" s="147">
        <f t="shared" si="186"/>
        <v>0</v>
      </c>
      <c r="J739" s="147">
        <f t="shared" si="186"/>
        <v>0</v>
      </c>
      <c r="K739" s="147">
        <f t="shared" si="186"/>
        <v>0</v>
      </c>
      <c r="L739" s="147">
        <f t="shared" si="186"/>
        <v>0</v>
      </c>
      <c r="M739" s="147">
        <f t="shared" si="186"/>
        <v>0</v>
      </c>
      <c r="N739" s="147">
        <f t="shared" si="186"/>
        <v>0</v>
      </c>
      <c r="O739" s="147">
        <f t="shared" si="186"/>
        <v>0</v>
      </c>
      <c r="P739" s="147">
        <f t="shared" si="186"/>
        <v>0</v>
      </c>
      <c r="Q739" s="72"/>
      <c r="R739" s="161"/>
      <c r="S739" s="161"/>
      <c r="Z739" s="208"/>
      <c r="AA739" s="226">
        <f>D739+Z739</f>
        <v>0</v>
      </c>
      <c r="IQ739" s="2"/>
      <c r="IR739" s="2"/>
    </row>
    <row r="740" spans="2:252" ht="9" customHeight="1">
      <c r="B740" s="145"/>
      <c r="C740" s="148"/>
      <c r="D740" s="72"/>
      <c r="E740" s="72"/>
      <c r="F740" s="72"/>
      <c r="G740" s="72"/>
      <c r="H740" s="72"/>
      <c r="I740" s="72"/>
      <c r="J740" s="72"/>
      <c r="K740" s="72"/>
      <c r="L740" s="72"/>
      <c r="M740" s="72"/>
      <c r="N740" s="72"/>
      <c r="O740" s="72"/>
      <c r="P740" s="72"/>
      <c r="Q740" s="72"/>
      <c r="R740" s="161"/>
      <c r="S740" s="161"/>
      <c r="Z740" s="208"/>
      <c r="AA740" s="161"/>
      <c r="IQ740" s="2"/>
      <c r="IR740" s="2"/>
    </row>
    <row r="741" spans="2:255" s="79" customFormat="1" ht="60" customHeight="1">
      <c r="B741" s="149"/>
      <c r="C741" s="150" t="s">
        <v>166</v>
      </c>
      <c r="D741" s="151">
        <f>D55+D116+D138+D359+D368+D476+D596+D673+D684+D700+D711+D722+D770-0.05</f>
        <v>6219</v>
      </c>
      <c r="E741" s="151">
        <f aca="true" t="shared" si="187" ref="E741:I742">E55+E116+E138+E359+E368+E476+E596+E673+E684+E700+E711+E722</f>
        <v>331.88</v>
      </c>
      <c r="F741" s="151">
        <f t="shared" si="187"/>
        <v>0</v>
      </c>
      <c r="G741" s="152">
        <f t="shared" si="187"/>
        <v>40</v>
      </c>
      <c r="H741" s="151">
        <f t="shared" si="187"/>
        <v>77603.73</v>
      </c>
      <c r="I741" s="151">
        <f t="shared" si="187"/>
        <v>4868</v>
      </c>
      <c r="J741" s="151">
        <f>J55+J116+J138+J359+J368+J476+J596+J673+J684+J700+J711+J722+D770-0.05</f>
        <v>5906</v>
      </c>
      <c r="K741" s="151">
        <f aca="true" t="shared" si="188" ref="K741:P742">K55+K116+K138+K359+K368+K476+K596+K673+K684+K700+K711+K722</f>
        <v>5276.58</v>
      </c>
      <c r="L741" s="151">
        <f t="shared" si="188"/>
        <v>0</v>
      </c>
      <c r="M741" s="151">
        <f t="shared" si="188"/>
        <v>273</v>
      </c>
      <c r="N741" s="151">
        <f t="shared" si="188"/>
        <v>52.910000000000004</v>
      </c>
      <c r="O741" s="151">
        <f t="shared" si="188"/>
        <v>0</v>
      </c>
      <c r="P741" s="151">
        <f t="shared" si="188"/>
        <v>0</v>
      </c>
      <c r="Q741" s="152">
        <f>G741+J741+M741+P741</f>
        <v>6219</v>
      </c>
      <c r="R741" s="207"/>
      <c r="S741" s="207"/>
      <c r="Z741" s="207"/>
      <c r="AA741" s="226">
        <f>D741+Z741</f>
        <v>6219</v>
      </c>
      <c r="IQ741" s="1"/>
      <c r="IR741" s="1"/>
      <c r="IS741" s="1"/>
      <c r="IT741" s="1"/>
      <c r="IU741" s="1"/>
    </row>
    <row r="742" spans="2:255" s="79" customFormat="1" ht="15.75" customHeight="1">
      <c r="B742" s="149"/>
      <c r="C742" s="150" t="s">
        <v>167</v>
      </c>
      <c r="D742" s="153">
        <f>D56+D117+D139+D360+D369+D477+D597+D674+D685+D701+D712+D723</f>
        <v>0</v>
      </c>
      <c r="E742" s="152">
        <f t="shared" si="187"/>
        <v>4972</v>
      </c>
      <c r="F742" s="152">
        <f t="shared" si="187"/>
        <v>0</v>
      </c>
      <c r="G742" s="152">
        <f t="shared" si="187"/>
        <v>0</v>
      </c>
      <c r="H742" s="152">
        <f t="shared" si="187"/>
        <v>204125.85</v>
      </c>
      <c r="I742" s="152">
        <f t="shared" si="187"/>
        <v>-55883</v>
      </c>
      <c r="J742" s="152">
        <f>J56+J117+J139+J360+J369+J477+J597+J674+J685+J701+J712+J723</f>
        <v>0</v>
      </c>
      <c r="K742" s="152">
        <f t="shared" si="188"/>
        <v>29856.1</v>
      </c>
      <c r="L742" s="152">
        <f t="shared" si="188"/>
        <v>0</v>
      </c>
      <c r="M742" s="152">
        <f t="shared" si="188"/>
        <v>0</v>
      </c>
      <c r="N742" s="152">
        <f t="shared" si="188"/>
        <v>810.95</v>
      </c>
      <c r="O742" s="152">
        <f t="shared" si="188"/>
        <v>0</v>
      </c>
      <c r="P742" s="152">
        <f t="shared" si="188"/>
        <v>0</v>
      </c>
      <c r="Q742" s="152">
        <f>G742+J742+M742+P742</f>
        <v>0</v>
      </c>
      <c r="R742" s="132"/>
      <c r="S742" s="210"/>
      <c r="U742" s="87"/>
      <c r="V742" s="87"/>
      <c r="Z742" s="207"/>
      <c r="AA742" s="207"/>
      <c r="IQ742" s="1"/>
      <c r="IR742" s="1"/>
      <c r="IS742" s="1"/>
      <c r="IT742" s="1"/>
      <c r="IU742" s="1"/>
    </row>
    <row r="743" spans="2:255" s="79" customFormat="1" ht="16.5" customHeight="1">
      <c r="B743" s="149"/>
      <c r="C743" s="150" t="s">
        <v>168</v>
      </c>
      <c r="D743" s="151">
        <f>D57+D118+D140+D361+D370+D478+D598+D675+D686+D702+D713+D724+D130+D511+D609+D619+D771-0.95</f>
        <v>21490</v>
      </c>
      <c r="E743" s="151">
        <f>E57+E118+E140+E361+E370+E478+E598+E675+E686+E702+E713+E724+E130+E511+E609+E619</f>
        <v>7795.04</v>
      </c>
      <c r="F743" s="151">
        <f>F57+F118+F140+F361+F370+F478+F598+F675+F686+F702+F713+F724+F130+F511+F609+F619</f>
        <v>0</v>
      </c>
      <c r="G743" s="152">
        <f>G57+G118+G140+G361+G370+G478+G598+G675+G686+G702+G713+G724+G130+G511+G609+G619</f>
        <v>4920</v>
      </c>
      <c r="H743" s="151">
        <f>H57+H118+H140+H361+H370+H478+H598+H675+H686+H702+H713+H724+H130+H511+H609+H619</f>
        <v>14733</v>
      </c>
      <c r="I743" s="151">
        <f>I57+I118+I140+I361+I370+I478+I598+I675+I686+I702+I713+I724+I130+I511+I609+I619</f>
        <v>0</v>
      </c>
      <c r="J743" s="151">
        <f>J57+J118+J140+J361+J370+J478+J598+J675+J686+J702+J713+J724+J130+J511+J609+J619+D771-0.95</f>
        <v>14785</v>
      </c>
      <c r="K743" s="151">
        <f aca="true" t="shared" si="189" ref="K743:P743">K57+K118+K140+K361+K370+K478+K598+K675+K686+K702+K713+K724+K130+K511+K609+K619</f>
        <v>0</v>
      </c>
      <c r="L743" s="151">
        <f t="shared" si="189"/>
        <v>0</v>
      </c>
      <c r="M743" s="151">
        <f t="shared" si="189"/>
        <v>1785</v>
      </c>
      <c r="N743" s="151">
        <f t="shared" si="189"/>
        <v>0</v>
      </c>
      <c r="O743" s="151">
        <f t="shared" si="189"/>
        <v>0</v>
      </c>
      <c r="P743" s="151">
        <f t="shared" si="189"/>
        <v>0</v>
      </c>
      <c r="Q743" s="152">
        <f>G743+J743+M743+P743</f>
        <v>21490</v>
      </c>
      <c r="R743" s="132"/>
      <c r="S743" s="210"/>
      <c r="U743" s="87"/>
      <c r="V743" s="87"/>
      <c r="Z743" s="207"/>
      <c r="AA743" s="226">
        <f>D743+Z743</f>
        <v>21490</v>
      </c>
      <c r="IQ743" s="1"/>
      <c r="IR743" s="1"/>
      <c r="IS743" s="1"/>
      <c r="IT743" s="1"/>
      <c r="IU743" s="1"/>
    </row>
    <row r="744" spans="2:255" s="79" customFormat="1" ht="9.75" customHeight="1">
      <c r="B744" s="149"/>
      <c r="C744" s="154"/>
      <c r="D744" s="152"/>
      <c r="E744" s="152"/>
      <c r="F744" s="152"/>
      <c r="G744" s="152"/>
      <c r="H744" s="152"/>
      <c r="I744" s="152"/>
      <c r="J744" s="152"/>
      <c r="K744" s="152"/>
      <c r="L744" s="152"/>
      <c r="M744" s="152"/>
      <c r="N744" s="152"/>
      <c r="O744" s="152"/>
      <c r="P744" s="152"/>
      <c r="Q744" s="152"/>
      <c r="R744" s="132"/>
      <c r="S744" s="210"/>
      <c r="U744" s="87"/>
      <c r="V744" s="87"/>
      <c r="Z744" s="207"/>
      <c r="AA744" s="207"/>
      <c r="IQ744" s="1"/>
      <c r="IR744" s="1"/>
      <c r="IS744" s="1"/>
      <c r="IT744" s="1"/>
      <c r="IU744" s="1"/>
    </row>
    <row r="745" spans="2:255" s="79" customFormat="1" ht="47.25" customHeight="1">
      <c r="B745" s="149"/>
      <c r="C745" s="150" t="s">
        <v>169</v>
      </c>
      <c r="D745" s="152">
        <f aca="true" t="shared" si="190" ref="D745:P745">D35+D45+D65+D85+D105+D127+D183+D192+D337+D349+D386+D396+D406+D416+D455+D465+D508+D496+D486+D607+D617+D627+D651+D530+D520+D95+D75</f>
        <v>11311</v>
      </c>
      <c r="E745" s="152">
        <f t="shared" si="190"/>
        <v>3884.2</v>
      </c>
      <c r="F745" s="152">
        <f t="shared" si="190"/>
        <v>0</v>
      </c>
      <c r="G745" s="152">
        <f t="shared" si="190"/>
        <v>5035</v>
      </c>
      <c r="H745" s="152">
        <f t="shared" si="190"/>
        <v>20364</v>
      </c>
      <c r="I745" s="152">
        <f t="shared" si="190"/>
        <v>0</v>
      </c>
      <c r="J745" s="152">
        <f t="shared" si="190"/>
        <v>4050</v>
      </c>
      <c r="K745" s="152">
        <f t="shared" si="190"/>
        <v>-1777</v>
      </c>
      <c r="L745" s="152">
        <f t="shared" si="190"/>
        <v>5</v>
      </c>
      <c r="M745" s="152">
        <f t="shared" si="190"/>
        <v>1211</v>
      </c>
      <c r="N745" s="152">
        <f t="shared" si="190"/>
        <v>-21</v>
      </c>
      <c r="O745" s="152">
        <f t="shared" si="190"/>
        <v>0</v>
      </c>
      <c r="P745" s="152">
        <f t="shared" si="190"/>
        <v>1015</v>
      </c>
      <c r="Q745" s="152"/>
      <c r="R745" s="132"/>
      <c r="S745" s="210"/>
      <c r="U745" s="87"/>
      <c r="V745" s="87"/>
      <c r="Z745" s="207"/>
      <c r="AA745" s="226">
        <f>D745+Z745</f>
        <v>11311</v>
      </c>
      <c r="IQ745" s="1"/>
      <c r="IR745" s="1"/>
      <c r="IS745" s="1"/>
      <c r="IT745" s="1"/>
      <c r="IU745" s="1"/>
    </row>
    <row r="746" spans="2:255" s="79" customFormat="1" ht="12.75" customHeight="1">
      <c r="B746" s="149"/>
      <c r="C746" s="150" t="s">
        <v>170</v>
      </c>
      <c r="D746" s="152">
        <f>D36+D46+D66+D86+D106+D128+D184+D193+D338+D350+D387+D397+D407+D417+D456+D466+D509+D497+D487+D608+D618+D628+D652+D531+D521+D96+D76+D692</f>
        <v>63779</v>
      </c>
      <c r="E746" s="152">
        <f>E36+E46+E66+E86+E106+E128+E184+E193+E338+E350+E387+E397+E407+E417+E456+E466+E509+E497+E487+E608+E618+E628+E652+E531+E521+E96+E76</f>
        <v>20777</v>
      </c>
      <c r="F746" s="152">
        <f>F36+F46+F66+F86+F106+F128+F184+F193+F338+F350+F387+F397+F407+F417+F456+F466+F509+F497+F487+F608+F618+F628+F652+F531+F521+F96+F76</f>
        <v>0</v>
      </c>
      <c r="G746" s="152">
        <f>G36+G46+G66+G86+G106+G128+G184+G193+G338+G350+G387+G397+G407+G417+G456+G466+G509+G497+G487+G608+G618+G628+G652+G531+G521+G96+G76+G692</f>
        <v>30261</v>
      </c>
      <c r="H746" s="152">
        <f>H36+H46+H66+H86+H106+H128+H184+H193+H338+H350+H387+H397+H407+H417+H456+H466+H509+H497+H487+H608+H618+H628+H652+H531+H521+H96+H76</f>
        <v>13153</v>
      </c>
      <c r="I746" s="152">
        <f>I36+I46+I66+I86+I106+I128+I184+I193+I338+I350+I387+I397+I407+I417+I456+I466+I509+I497+I487+I608+I618+I628+I652+I531+I521+I96+I76</f>
        <v>0</v>
      </c>
      <c r="J746" s="152">
        <f>J36+J46+J66+J86+J106+J128+J184+J193+J338+J350+J387+J397+J407+J417+J456+J466+J509+J497+J487+J608+J618+J628+J652+J531+J521+J96+J76+J692</f>
        <v>18043</v>
      </c>
      <c r="K746" s="152">
        <f>K36+K46+K66+K86+K106+K128+K184+K193+K338+K350+K387+K397+K407+K417+K456+K466+K509+K497+K487+K608+K618+K628+K652+K531+K521+K96+K76</f>
        <v>5620</v>
      </c>
      <c r="L746" s="152">
        <f>L36+L46+L66+L86+L106+L128+L184+L193+L338+L350+L387+L397+L407+L417+L456+L466+L509+L497+L487+L608+L618+L628+L652+L531+L521+L96+L76</f>
        <v>25</v>
      </c>
      <c r="M746" s="152">
        <f>M36+M46+M66+M86+M106+M128+M184+M193+M338+M350+M387+M397+M407+M417+M456+M466+M509+M497+M487+M608+M618+M628+M652+M531+M521+M96+M76+M692</f>
        <v>7410</v>
      </c>
      <c r="N746" s="152">
        <f>N36+N46+N66+N86+N106+N128+N184+N193+N338+N350+N387+N397+N407+N417+N456+N466+N509+N497+N487+N608+N618+N628+N652+N531+N521+N96+N76</f>
        <v>0</v>
      </c>
      <c r="O746" s="152">
        <f>O36+O46+O66+O86+O106+O128+O184+O193+O338+O350+O387+O397+O407+O417+O456+O466+O509+O497+O487+O608+O618+O628+O652+O531+O521+O96+O76</f>
        <v>0</v>
      </c>
      <c r="P746" s="152">
        <f>P36+P46+P66+P86+P106+P128+P184+P193+P338+P350+P387+P397+P407+P417+P456+P466+P509+P497+P487+P608+P618+P628+P652+P531+P521+P96+P76+P692</f>
        <v>7084</v>
      </c>
      <c r="Q746" s="152">
        <f>P746</f>
        <v>7084</v>
      </c>
      <c r="R746" s="207"/>
      <c r="S746" s="207"/>
      <c r="Z746" s="207"/>
      <c r="AA746" s="226">
        <f>D746+Z746</f>
        <v>63779</v>
      </c>
      <c r="IQ746" s="1"/>
      <c r="IR746" s="1"/>
      <c r="IS746" s="1"/>
      <c r="IT746" s="1"/>
      <c r="IU746" s="1"/>
    </row>
    <row r="747" spans="2:255" s="79" customFormat="1" ht="14.25" customHeight="1">
      <c r="B747" s="149"/>
      <c r="C747" s="150" t="s">
        <v>171</v>
      </c>
      <c r="D747" s="152">
        <f>D37+D47+D67+D87+D107+D129+D185+D194+D339+D351+D388+D398+D408+D418+D457+D467+D510+D498+D488+D629+D653+D532+D522+D97+D77</f>
        <v>8254</v>
      </c>
      <c r="E747" s="152">
        <f>E37+E47+E67+E87+E107+E129+E185+E194+E339+E351+E388+E398+E408+E418+E457+E467+E510+E498+E488+E609+E619+E629+E653</f>
        <v>0</v>
      </c>
      <c r="F747" s="152">
        <f>F37+F47+F67+F87+F107+F129+F185+F194+F339+F351+F388+F398+F408+F418+F457+F467+F510+F498+F488+F609+F619+F629+F653</f>
        <v>0</v>
      </c>
      <c r="G747" s="152">
        <f aca="true" t="shared" si="191" ref="G747:P747">G37+G47+G67+G87+G107+G129+G185+G194+G339+G351+G388+G398+G408+G418+G457+G467+G510+G498+G488+G629+G653+G532+G522+G97+G77</f>
        <v>411</v>
      </c>
      <c r="H747" s="152">
        <f t="shared" si="191"/>
        <v>3618</v>
      </c>
      <c r="I747" s="152">
        <f t="shared" si="191"/>
        <v>0</v>
      </c>
      <c r="J747" s="152">
        <f t="shared" si="191"/>
        <v>7688</v>
      </c>
      <c r="K747" s="152">
        <f t="shared" si="191"/>
        <v>146</v>
      </c>
      <c r="L747" s="152">
        <f t="shared" si="191"/>
        <v>0</v>
      </c>
      <c r="M747" s="152">
        <f t="shared" si="191"/>
        <v>155</v>
      </c>
      <c r="N747" s="152">
        <f t="shared" si="191"/>
        <v>0</v>
      </c>
      <c r="O747" s="152">
        <f t="shared" si="191"/>
        <v>0</v>
      </c>
      <c r="P747" s="152">
        <f t="shared" si="191"/>
        <v>0</v>
      </c>
      <c r="Q747" s="152">
        <v>210</v>
      </c>
      <c r="R747" s="207"/>
      <c r="S747" s="207"/>
      <c r="Z747" s="207"/>
      <c r="AA747" s="226">
        <f>D747+Z747</f>
        <v>8254</v>
      </c>
      <c r="IQ747" s="1"/>
      <c r="IR747" s="1"/>
      <c r="IS747" s="1"/>
      <c r="IT747" s="1"/>
      <c r="IU747" s="1"/>
    </row>
    <row r="748" spans="2:255" s="79" customFormat="1" ht="9.75" customHeight="1">
      <c r="B748" s="149"/>
      <c r="C748" s="150"/>
      <c r="D748" s="152"/>
      <c r="E748" s="152"/>
      <c r="F748" s="155"/>
      <c r="G748" s="152"/>
      <c r="H748" s="152"/>
      <c r="I748" s="155"/>
      <c r="J748" s="152"/>
      <c r="K748" s="152"/>
      <c r="L748" s="155"/>
      <c r="M748" s="152"/>
      <c r="N748" s="152"/>
      <c r="O748" s="155"/>
      <c r="P748" s="152"/>
      <c r="Q748" s="152"/>
      <c r="R748" s="207"/>
      <c r="S748" s="207"/>
      <c r="Z748" s="207"/>
      <c r="AA748" s="207"/>
      <c r="IQ748" s="1"/>
      <c r="IR748" s="1"/>
      <c r="IS748" s="1"/>
      <c r="IT748" s="1"/>
      <c r="IU748" s="1"/>
    </row>
    <row r="749" spans="2:255" s="79" customFormat="1" ht="13.5" customHeight="1">
      <c r="B749" s="149"/>
      <c r="C749" s="150" t="s">
        <v>172</v>
      </c>
      <c r="D749" s="152">
        <f aca="true" t="shared" si="192" ref="D749:P749">D750+D752+D751</f>
        <v>123558</v>
      </c>
      <c r="E749" s="152" t="e">
        <f t="shared" si="192"/>
        <v>#REF!</v>
      </c>
      <c r="F749" s="152" t="e">
        <f t="shared" si="192"/>
        <v>#REF!</v>
      </c>
      <c r="G749" s="152">
        <f t="shared" si="192"/>
        <v>40367</v>
      </c>
      <c r="H749" s="152">
        <f t="shared" si="192"/>
        <v>4516</v>
      </c>
      <c r="I749" s="152">
        <f t="shared" si="192"/>
        <v>0</v>
      </c>
      <c r="J749" s="152">
        <f t="shared" si="192"/>
        <v>29172</v>
      </c>
      <c r="K749" s="152">
        <f t="shared" si="192"/>
        <v>5386</v>
      </c>
      <c r="L749" s="152">
        <f t="shared" si="192"/>
        <v>0</v>
      </c>
      <c r="M749" s="152">
        <f t="shared" si="192"/>
        <v>8004</v>
      </c>
      <c r="N749" s="152">
        <f t="shared" si="192"/>
        <v>3312</v>
      </c>
      <c r="O749" s="152">
        <f t="shared" si="192"/>
        <v>3332</v>
      </c>
      <c r="P749" s="152">
        <f t="shared" si="192"/>
        <v>46015</v>
      </c>
      <c r="Q749" s="152">
        <f>G749+J749+M749+P749</f>
        <v>123558</v>
      </c>
      <c r="R749" s="132"/>
      <c r="S749" s="210"/>
      <c r="U749" s="87"/>
      <c r="V749" s="87"/>
      <c r="Z749" s="207"/>
      <c r="AA749" s="226">
        <f>D749+Z749</f>
        <v>123558</v>
      </c>
      <c r="IQ749" s="1"/>
      <c r="IR749" s="1"/>
      <c r="IS749" s="1"/>
      <c r="IT749" s="1"/>
      <c r="IU749" s="1"/>
    </row>
    <row r="750" spans="2:255" s="79" customFormat="1" ht="14.25" customHeight="1">
      <c r="B750" s="149"/>
      <c r="C750" s="105" t="s">
        <v>81</v>
      </c>
      <c r="D750" s="156">
        <f>D148+D157+D166+D175+D202+D211+D220+D229+D238+D247+D256+D265+D274+D283+D292+D301+D310+D319+D328+D541+D560+D569+D578+D587+D639</f>
        <v>104032</v>
      </c>
      <c r="E750" s="156" t="e">
        <f>E541+E569+E578+E587+E560+E220+#REF!+#REF!+E229+E238+E247+E256+E265+E274+E283+E292+E301+E310+E319+E328</f>
        <v>#REF!</v>
      </c>
      <c r="F750" s="157" t="e">
        <f>F541+F569+F578+F587+F560+F220+#REF!+#REF!+F229+F238+F247+F256+F265+F274+F283+F292+F301+F310+F319+F328</f>
        <v>#REF!</v>
      </c>
      <c r="G750" s="156">
        <f>G148+G157+G166+G175+G202+G211+G220+G229+G238+G247+G256+G265+G274+G283+G292+G301+G310+G319+G328+G541+G560+G569+G578+G587+G639</f>
        <v>33894</v>
      </c>
      <c r="H750" s="156">
        <f aca="true" t="shared" si="193" ref="H750:P750">H148+H157+H166+H175+H202+H211+H220+H229+H238+H247+H256+H265+H274+H283+H292+H301+H310+H319+H328+H541+H560+H569+H578+H587</f>
        <v>2691</v>
      </c>
      <c r="I750" s="156">
        <f t="shared" si="193"/>
        <v>0</v>
      </c>
      <c r="J750" s="156">
        <f t="shared" si="193"/>
        <v>24749</v>
      </c>
      <c r="K750" s="156">
        <f t="shared" si="193"/>
        <v>3650</v>
      </c>
      <c r="L750" s="156">
        <f t="shared" si="193"/>
        <v>0</v>
      </c>
      <c r="M750" s="156">
        <f t="shared" si="193"/>
        <v>6719</v>
      </c>
      <c r="N750" s="156">
        <f t="shared" si="193"/>
        <v>3046</v>
      </c>
      <c r="O750" s="156">
        <f t="shared" si="193"/>
        <v>2800</v>
      </c>
      <c r="P750" s="156">
        <f t="shared" si="193"/>
        <v>38670</v>
      </c>
      <c r="Q750" s="156">
        <f>G750+J750+M750+P750</f>
        <v>104032</v>
      </c>
      <c r="R750" s="130"/>
      <c r="S750" s="220">
        <f>Q750-D750</f>
        <v>0</v>
      </c>
      <c r="U750" s="77"/>
      <c r="V750" s="77"/>
      <c r="W750" s="96">
        <f>D581+D572+D563+D554+D535+D322+D313+D304+D295+D286+D277+D268+D259+D250+D241+D232+D223+D214+D205+D196+D169+D160+D151+D142+D633</f>
        <v>123754</v>
      </c>
      <c r="X750" s="96">
        <f>D749-W750</f>
        <v>-196</v>
      </c>
      <c r="Z750" s="207"/>
      <c r="AA750" s="130">
        <f>D750+Z750</f>
        <v>104032</v>
      </c>
      <c r="IQ750" s="1"/>
      <c r="IR750" s="1"/>
      <c r="IS750" s="1"/>
      <c r="IT750" s="1"/>
      <c r="IU750" s="1"/>
    </row>
    <row r="751" spans="2:255" s="79" customFormat="1" ht="14.25" customHeight="1">
      <c r="B751" s="149"/>
      <c r="C751" s="105" t="s">
        <v>79</v>
      </c>
      <c r="D751" s="156">
        <f>D149+D158+D167+D176+D203+D212+D221+D230+D239+D248+D257+D266+D275+D284+D293+D302+D311+D320+D329+D542+D561+D570+D579+D588</f>
        <v>0</v>
      </c>
      <c r="E751" s="156" t="e">
        <f>E542+E570+E579+E588+E561+E221+#REF!+#REF!+E230+E239+E248+E257+E266+E275+E284+E293+E302+E311+E320+E329</f>
        <v>#REF!</v>
      </c>
      <c r="F751" s="157" t="e">
        <f>F542+F570+F579+F588+F561+F221+#REF!+#REF!+F230+F239+F248+F257+F266+F275+F284+F293+F302+F311+F320+F329</f>
        <v>#REF!</v>
      </c>
      <c r="G751" s="156">
        <f aca="true" t="shared" si="194" ref="G751:P751">G149+G158+G167+G176+G203+G212+G221+G230+G239+G248+G257+G266+G275+G284+G293+G302+G311+G320+G329+G542+G561+G570+G579+G588</f>
        <v>0</v>
      </c>
      <c r="H751" s="156">
        <f t="shared" si="194"/>
        <v>1081</v>
      </c>
      <c r="I751" s="156">
        <f t="shared" si="194"/>
        <v>0</v>
      </c>
      <c r="J751" s="156">
        <f t="shared" si="194"/>
        <v>0</v>
      </c>
      <c r="K751" s="156">
        <f t="shared" si="194"/>
        <v>878</v>
      </c>
      <c r="L751" s="156">
        <f t="shared" si="194"/>
        <v>0</v>
      </c>
      <c r="M751" s="156">
        <f t="shared" si="194"/>
        <v>0</v>
      </c>
      <c r="N751" s="156">
        <f t="shared" si="194"/>
        <v>0</v>
      </c>
      <c r="O751" s="156">
        <f t="shared" si="194"/>
        <v>0</v>
      </c>
      <c r="P751" s="156">
        <f t="shared" si="194"/>
        <v>0</v>
      </c>
      <c r="Q751" s="156">
        <f>G751+J751+M751+P751</f>
        <v>0</v>
      </c>
      <c r="R751" s="130"/>
      <c r="S751" s="210"/>
      <c r="U751" s="77"/>
      <c r="V751" s="77"/>
      <c r="Z751" s="207"/>
      <c r="AA751" s="130">
        <f>D751+Z751</f>
        <v>0</v>
      </c>
      <c r="IQ751" s="1"/>
      <c r="IR751" s="1"/>
      <c r="IS751" s="1"/>
      <c r="IT751" s="1"/>
      <c r="IU751" s="1"/>
    </row>
    <row r="752" spans="2:255" s="79" customFormat="1" ht="14.25" customHeight="1">
      <c r="B752" s="149"/>
      <c r="C752" s="105" t="s">
        <v>82</v>
      </c>
      <c r="D752" s="156">
        <f>D150+D159+D168+D177+D204+D213+D222+D231+D240+D249+D258+D267+D276+D285+D294+D303+D312+D321+D330+D543+D562+D571+D580+D589+D641</f>
        <v>19526</v>
      </c>
      <c r="E752" s="156" t="e">
        <f>E543+E571+E580+E589+E562+E222+#REF!+#REF!+E231+E240+E249+E258+E267+E276+E285+E294+E303+E312+E321+E330</f>
        <v>#REF!</v>
      </c>
      <c r="F752" s="157" t="e">
        <f>F543+F571+F580+F589+F562+F222+#REF!+#REF!+F231+F240+F249+F258+F267+F276+F285+F294+F303+F312+F321+F330</f>
        <v>#REF!</v>
      </c>
      <c r="G752" s="156">
        <f>G150+G159+G168+G177+G204+G213+G222+G231+G240+G249+G258+G267+G276+G285+G294+G303+G312+G321+G330+G543+G562+G571+G580+G589+G641</f>
        <v>6473</v>
      </c>
      <c r="H752" s="156">
        <f aca="true" t="shared" si="195" ref="H752:P752">H150+H159+H168+H177+H204+H213+H222+H231+H240+H249+H258+H267+H276+H285+H294+H303+H312+H321+H330+H543+H562+H571+H580+H589</f>
        <v>744</v>
      </c>
      <c r="I752" s="156">
        <f t="shared" si="195"/>
        <v>0</v>
      </c>
      <c r="J752" s="156">
        <f t="shared" si="195"/>
        <v>4423</v>
      </c>
      <c r="K752" s="156">
        <f t="shared" si="195"/>
        <v>858</v>
      </c>
      <c r="L752" s="156">
        <f t="shared" si="195"/>
        <v>0</v>
      </c>
      <c r="M752" s="156">
        <f t="shared" si="195"/>
        <v>1285</v>
      </c>
      <c r="N752" s="156">
        <f t="shared" si="195"/>
        <v>266</v>
      </c>
      <c r="O752" s="156">
        <f t="shared" si="195"/>
        <v>532</v>
      </c>
      <c r="P752" s="156">
        <f t="shared" si="195"/>
        <v>7345</v>
      </c>
      <c r="Q752" s="156">
        <f>G752+J752+M752+P752</f>
        <v>19526</v>
      </c>
      <c r="R752" s="130"/>
      <c r="S752" s="210"/>
      <c r="U752" s="77"/>
      <c r="V752" s="77"/>
      <c r="Z752" s="207"/>
      <c r="AA752" s="130">
        <f>D752+Z752</f>
        <v>19526</v>
      </c>
      <c r="IQ752" s="1"/>
      <c r="IR752" s="1"/>
      <c r="IS752" s="1"/>
      <c r="IT752" s="1"/>
      <c r="IU752" s="1"/>
    </row>
    <row r="753" spans="2:255" s="79" customFormat="1" ht="9" customHeight="1">
      <c r="B753" s="149"/>
      <c r="C753" s="105"/>
      <c r="D753" s="156"/>
      <c r="E753" s="156"/>
      <c r="F753" s="157"/>
      <c r="G753" s="156"/>
      <c r="H753" s="156"/>
      <c r="I753" s="157"/>
      <c r="J753" s="156"/>
      <c r="K753" s="156"/>
      <c r="L753" s="157"/>
      <c r="M753" s="156"/>
      <c r="N753" s="156"/>
      <c r="O753" s="157"/>
      <c r="P753" s="156"/>
      <c r="Q753" s="156"/>
      <c r="R753" s="130"/>
      <c r="S753" s="210"/>
      <c r="U753" s="77"/>
      <c r="V753" s="77"/>
      <c r="Z753" s="207"/>
      <c r="AA753" s="207"/>
      <c r="IQ753" s="1"/>
      <c r="IR753" s="1"/>
      <c r="IS753" s="1"/>
      <c r="IT753" s="1"/>
      <c r="IU753" s="1"/>
    </row>
    <row r="754" spans="2:255" s="79" customFormat="1" ht="12.75" customHeight="1">
      <c r="B754" s="149"/>
      <c r="C754" s="150" t="s">
        <v>173</v>
      </c>
      <c r="D754" s="152">
        <f>D755+D757+D756</f>
        <v>89609</v>
      </c>
      <c r="E754" s="152">
        <f>E755+E757</f>
        <v>8</v>
      </c>
      <c r="F754" s="155">
        <f>F755+F757</f>
        <v>0</v>
      </c>
      <c r="G754" s="152">
        <f aca="true" t="shared" si="196" ref="G754:P754">G755+G757+G756</f>
        <v>14042</v>
      </c>
      <c r="H754" s="152">
        <f t="shared" si="196"/>
        <v>23</v>
      </c>
      <c r="I754" s="152">
        <f t="shared" si="196"/>
        <v>0</v>
      </c>
      <c r="J754" s="152">
        <f t="shared" si="196"/>
        <v>59825</v>
      </c>
      <c r="K754" s="152">
        <f t="shared" si="196"/>
        <v>6636</v>
      </c>
      <c r="L754" s="152">
        <f t="shared" si="196"/>
        <v>0</v>
      </c>
      <c r="M754" s="152">
        <f t="shared" si="196"/>
        <v>13076</v>
      </c>
      <c r="N754" s="152">
        <f t="shared" si="196"/>
        <v>1847</v>
      </c>
      <c r="O754" s="152">
        <f t="shared" si="196"/>
        <v>0</v>
      </c>
      <c r="P754" s="152">
        <f t="shared" si="196"/>
        <v>3046</v>
      </c>
      <c r="Q754" s="152">
        <f>Q755+Q757</f>
        <v>89989</v>
      </c>
      <c r="R754" s="132"/>
      <c r="S754" s="210"/>
      <c r="U754" s="87"/>
      <c r="V754" s="87"/>
      <c r="Z754" s="207"/>
      <c r="AA754" s="226">
        <f>D754+Z754</f>
        <v>89609</v>
      </c>
      <c r="IQ754" s="1"/>
      <c r="IR754" s="1"/>
      <c r="IS754" s="1"/>
      <c r="IT754" s="1"/>
      <c r="IU754" s="1"/>
    </row>
    <row r="755" spans="2:255" s="79" customFormat="1" ht="14.25" customHeight="1">
      <c r="B755" s="149"/>
      <c r="C755" s="105" t="s">
        <v>174</v>
      </c>
      <c r="D755" s="156">
        <f>D17+D26+D377+D425+D435+D444+D551+D733</f>
        <v>75298</v>
      </c>
      <c r="E755" s="156">
        <f>E733+E551+E17+E26+E377+E425+E444</f>
        <v>6</v>
      </c>
      <c r="F755" s="157">
        <f>F733+F551+F17+F26+F377+F425+F444</f>
        <v>0</v>
      </c>
      <c r="G755" s="156">
        <f>G17+G26+G377+G425+G435+G444+G551+G541+G733</f>
        <v>11860</v>
      </c>
      <c r="H755" s="156">
        <f aca="true" t="shared" si="197" ref="H755:P755">H17+H26+H377+H425+H435+H444+H551+H639+H733</f>
        <v>19</v>
      </c>
      <c r="I755" s="156">
        <f t="shared" si="197"/>
        <v>0</v>
      </c>
      <c r="J755" s="156">
        <f t="shared" si="197"/>
        <v>50271</v>
      </c>
      <c r="K755" s="156">
        <f t="shared" si="197"/>
        <v>5576</v>
      </c>
      <c r="L755" s="156">
        <f t="shared" si="197"/>
        <v>0</v>
      </c>
      <c r="M755" s="156">
        <f t="shared" si="197"/>
        <v>10987</v>
      </c>
      <c r="N755" s="156">
        <f t="shared" si="197"/>
        <v>1552</v>
      </c>
      <c r="O755" s="156">
        <f t="shared" si="197"/>
        <v>0</v>
      </c>
      <c r="P755" s="156">
        <f t="shared" si="197"/>
        <v>2560</v>
      </c>
      <c r="Q755" s="156">
        <f>G755+J755+M755+P755</f>
        <v>75678</v>
      </c>
      <c r="R755" s="130"/>
      <c r="S755" s="210"/>
      <c r="U755" s="77"/>
      <c r="V755" s="98">
        <f>D727+D545+D429+D420+D372+D20+D11+D439</f>
        <v>90125</v>
      </c>
      <c r="W755" s="96">
        <f>D754-V755</f>
        <v>-516</v>
      </c>
      <c r="Z755" s="207"/>
      <c r="AA755" s="130">
        <f>D755+Z755</f>
        <v>75298</v>
      </c>
      <c r="IQ755" s="1"/>
      <c r="IR755" s="1"/>
      <c r="IS755" s="1"/>
      <c r="IT755" s="1"/>
      <c r="IU755" s="1"/>
    </row>
    <row r="756" spans="2:255" s="79" customFormat="1" ht="14.25" customHeight="1">
      <c r="B756" s="149"/>
      <c r="C756" s="158" t="s">
        <v>29</v>
      </c>
      <c r="D756" s="156">
        <f>D18+D27+D378+D426+D436+D445+D552+D640+D734</f>
        <v>0</v>
      </c>
      <c r="E756" s="156"/>
      <c r="F756" s="157"/>
      <c r="G756" s="156">
        <f aca="true" t="shared" si="198" ref="G756:P756">G18+G27+G378+G426+G436+G445+G552+G640+G734</f>
        <v>0</v>
      </c>
      <c r="H756" s="156">
        <f t="shared" si="198"/>
        <v>0</v>
      </c>
      <c r="I756" s="156">
        <f t="shared" si="198"/>
        <v>0</v>
      </c>
      <c r="J756" s="156">
        <f t="shared" si="198"/>
        <v>0</v>
      </c>
      <c r="K756" s="156">
        <f t="shared" si="198"/>
        <v>0</v>
      </c>
      <c r="L756" s="156">
        <f t="shared" si="198"/>
        <v>0</v>
      </c>
      <c r="M756" s="156">
        <f t="shared" si="198"/>
        <v>0</v>
      </c>
      <c r="N756" s="156">
        <f t="shared" si="198"/>
        <v>0</v>
      </c>
      <c r="O756" s="156">
        <f t="shared" si="198"/>
        <v>0</v>
      </c>
      <c r="P756" s="156">
        <f t="shared" si="198"/>
        <v>0</v>
      </c>
      <c r="Q756" s="156"/>
      <c r="R756" s="130"/>
      <c r="S756" s="210"/>
      <c r="U756" s="77"/>
      <c r="V756" s="77"/>
      <c r="Z756" s="207"/>
      <c r="AA756" s="130">
        <f>D756+Z756</f>
        <v>0</v>
      </c>
      <c r="IQ756" s="1"/>
      <c r="IR756" s="1"/>
      <c r="IS756" s="1"/>
      <c r="IT756" s="1"/>
      <c r="IU756" s="1"/>
    </row>
    <row r="757" spans="2:255" s="79" customFormat="1" ht="14.25" customHeight="1">
      <c r="B757" s="149"/>
      <c r="C757" s="105" t="s">
        <v>175</v>
      </c>
      <c r="D757" s="156">
        <f>D19+D28+D379+D427+D437+D446+D553+D735</f>
        <v>14311</v>
      </c>
      <c r="E757" s="156">
        <f>E735+E553+E19+E28+E379+E427+E446</f>
        <v>2</v>
      </c>
      <c r="F757" s="157">
        <f>F735+F553+F19+F28+F379+F427+F446</f>
        <v>0</v>
      </c>
      <c r="G757" s="156">
        <f>G19+G28+G379+G427+G437+G446+G553+G735</f>
        <v>2182</v>
      </c>
      <c r="H757" s="156">
        <f aca="true" t="shared" si="199" ref="H757:P757">H19+H28+H379+H427+H437+H446+H553+H641+H735</f>
        <v>4</v>
      </c>
      <c r="I757" s="156">
        <f t="shared" si="199"/>
        <v>0</v>
      </c>
      <c r="J757" s="156">
        <f t="shared" si="199"/>
        <v>9554</v>
      </c>
      <c r="K757" s="156">
        <f t="shared" si="199"/>
        <v>1060</v>
      </c>
      <c r="L757" s="156">
        <f t="shared" si="199"/>
        <v>0</v>
      </c>
      <c r="M757" s="156">
        <f t="shared" si="199"/>
        <v>2089</v>
      </c>
      <c r="N757" s="156">
        <f t="shared" si="199"/>
        <v>295</v>
      </c>
      <c r="O757" s="156">
        <f t="shared" si="199"/>
        <v>0</v>
      </c>
      <c r="P757" s="156">
        <f t="shared" si="199"/>
        <v>486</v>
      </c>
      <c r="Q757" s="156">
        <f>G757+J757+M757+P757</f>
        <v>14311</v>
      </c>
      <c r="R757" s="130"/>
      <c r="S757" s="210"/>
      <c r="U757" s="77"/>
      <c r="V757" s="77"/>
      <c r="Z757" s="207"/>
      <c r="AA757" s="130">
        <f>D757+Z757</f>
        <v>14311</v>
      </c>
      <c r="IQ757" s="1"/>
      <c r="IR757" s="1"/>
      <c r="IS757" s="1"/>
      <c r="IT757" s="1"/>
      <c r="IU757" s="1"/>
    </row>
    <row r="758" spans="2:255" s="79" customFormat="1" ht="9" customHeight="1" hidden="1">
      <c r="B758" s="149"/>
      <c r="C758" s="105"/>
      <c r="D758" s="156"/>
      <c r="E758" s="156"/>
      <c r="F758" s="157"/>
      <c r="G758" s="156"/>
      <c r="H758" s="156"/>
      <c r="I758" s="157"/>
      <c r="J758" s="156"/>
      <c r="K758" s="156"/>
      <c r="L758" s="157"/>
      <c r="M758" s="156"/>
      <c r="N758" s="156"/>
      <c r="O758" s="157"/>
      <c r="P758" s="156"/>
      <c r="Q758" s="156"/>
      <c r="R758" s="130"/>
      <c r="S758" s="210"/>
      <c r="U758" s="77"/>
      <c r="V758" s="77"/>
      <c r="Z758" s="207"/>
      <c r="AA758" s="207"/>
      <c r="IQ758" s="1"/>
      <c r="IR758" s="1"/>
      <c r="IS758" s="1"/>
      <c r="IT758" s="1"/>
      <c r="IU758" s="1"/>
    </row>
    <row r="759" spans="2:255" s="79" customFormat="1" ht="15" customHeight="1" hidden="1">
      <c r="B759" s="149"/>
      <c r="C759" s="150" t="s">
        <v>176</v>
      </c>
      <c r="D759" s="152">
        <f>D108</f>
        <v>0</v>
      </c>
      <c r="E759" s="152" t="e">
        <f>#REF!+E725+E714+E703+E687+E676+E119+E108</f>
        <v>#REF!</v>
      </c>
      <c r="F759" s="155" t="e">
        <f>#REF!+F725+F714+F703+F687+F676+F119+F108</f>
        <v>#REF!</v>
      </c>
      <c r="G759" s="152">
        <f aca="true" t="shared" si="200" ref="G759:P759">G108</f>
        <v>981</v>
      </c>
      <c r="H759" s="152">
        <f t="shared" si="200"/>
        <v>0</v>
      </c>
      <c r="I759" s="152">
        <f t="shared" si="200"/>
        <v>0</v>
      </c>
      <c r="J759" s="152">
        <f t="shared" si="200"/>
        <v>0</v>
      </c>
      <c r="K759" s="152">
        <f t="shared" si="200"/>
        <v>0</v>
      </c>
      <c r="L759" s="152">
        <f t="shared" si="200"/>
        <v>0</v>
      </c>
      <c r="M759" s="152">
        <f t="shared" si="200"/>
        <v>0</v>
      </c>
      <c r="N759" s="152">
        <f t="shared" si="200"/>
        <v>0</v>
      </c>
      <c r="O759" s="152">
        <f t="shared" si="200"/>
        <v>0</v>
      </c>
      <c r="P759" s="152">
        <f t="shared" si="200"/>
        <v>0</v>
      </c>
      <c r="Q759" s="152">
        <f>G759+J759+M759+P759</f>
        <v>981</v>
      </c>
      <c r="R759" s="132"/>
      <c r="S759" s="210"/>
      <c r="U759" s="87"/>
      <c r="V759" s="87"/>
      <c r="Z759" s="207"/>
      <c r="AA759" s="207"/>
      <c r="IQ759" s="1"/>
      <c r="IR759" s="1"/>
      <c r="IS759" s="1"/>
      <c r="IT759" s="1"/>
      <c r="IU759" s="1"/>
    </row>
    <row r="760" spans="2:255" s="79" customFormat="1" ht="9" customHeight="1" hidden="1">
      <c r="B760" s="149"/>
      <c r="C760" s="150"/>
      <c r="D760" s="152"/>
      <c r="E760" s="152"/>
      <c r="F760" s="155"/>
      <c r="G760" s="152"/>
      <c r="H760" s="152"/>
      <c r="I760" s="155"/>
      <c r="J760" s="152"/>
      <c r="K760" s="152"/>
      <c r="L760" s="155"/>
      <c r="M760" s="152"/>
      <c r="N760" s="152"/>
      <c r="O760" s="155"/>
      <c r="P760" s="152"/>
      <c r="Q760" s="152"/>
      <c r="R760" s="132"/>
      <c r="S760" s="210"/>
      <c r="U760" s="87"/>
      <c r="V760" s="87"/>
      <c r="Z760" s="207"/>
      <c r="AA760" s="207"/>
      <c r="IQ760" s="1"/>
      <c r="IR760" s="1"/>
      <c r="IS760" s="1"/>
      <c r="IT760" s="1"/>
      <c r="IU760" s="1"/>
    </row>
    <row r="761" spans="2:255" s="79" customFormat="1" ht="15" customHeight="1">
      <c r="B761" s="149"/>
      <c r="C761" s="159" t="s">
        <v>41</v>
      </c>
      <c r="D761" s="151">
        <f>D737-D741-D742-D743-D745-D746-D747-D749-D759-D754</f>
        <v>0</v>
      </c>
      <c r="E761" s="151" t="e">
        <f>(E38+E48+E58+E68+E78+E88+E98+E109+E120+#REF!+E131+E352+E362+E371+#REF!+E479+E512+E599+E610+E620+E630+E677+E704+E715+E726+#REF!+E688)-E475+E642</f>
        <v>#REF!</v>
      </c>
      <c r="F761" s="160" t="e">
        <f>(F38+F48+F58+F68+F78+F88+F98+F109+F120+#REF!+F131+F352+F362+F371+#REF!+F479+F512+F599+F610+F620+F630+F677+F704+F715+F726+#REF!+F688)-F475+F642</f>
        <v>#REF!</v>
      </c>
      <c r="G761" s="151">
        <f>G737-G741-G742-G743-G745-G746-G747-G749-G759-G754-22899+380</f>
        <v>0</v>
      </c>
      <c r="H761" s="151">
        <f>H737-H741-H742-H743-H745-H746-H747-H749-H759-H754</f>
        <v>-61819.57999999999</v>
      </c>
      <c r="I761" s="151">
        <f>I737-I741-I742-I743-I745-I746-I747-I749-I759-I754</f>
        <v>51015</v>
      </c>
      <c r="J761" s="151">
        <f>J737-J741-J742-J743-J745-J746-J747-J749-J759-J754+26234</f>
        <v>0</v>
      </c>
      <c r="K761" s="151">
        <f>K737-K741-K742-K743-K745-K746-K747-K749-K759-K754</f>
        <v>7115.32</v>
      </c>
      <c r="L761" s="151">
        <f>L737-L741-L742-L743-L745-L746-L747-L749-L759-L754</f>
        <v>-30</v>
      </c>
      <c r="M761" s="151">
        <f>M737-M741-M742-M743-M745-M746-M747-M749-M759-M754-4823</f>
        <v>0</v>
      </c>
      <c r="N761" s="151">
        <f>N737-N741-N742-N743-N745-N746-N747-N749-N759-N754</f>
        <v>3310.1399999999994</v>
      </c>
      <c r="O761" s="151">
        <f>O737-O741-O742-O743-O745-O746-O747-O749-O759-O754</f>
        <v>-3152</v>
      </c>
      <c r="P761" s="151">
        <f>P737-P741-P742-P743-P745-P746-P747-P749-P759-P754+1488</f>
        <v>0</v>
      </c>
      <c r="Q761" s="152">
        <f>G761+J761+M761+P761+0.5</f>
        <v>0.5</v>
      </c>
      <c r="R761" s="212"/>
      <c r="S761" s="210"/>
      <c r="X761" s="96">
        <f>G762+J762+M762+P762</f>
        <v>324600</v>
      </c>
      <c r="Y761" s="96">
        <f>X761-D762</f>
        <v>380</v>
      </c>
      <c r="Z761" s="207"/>
      <c r="AA761" s="207"/>
      <c r="IQ761" s="1"/>
      <c r="IR761" s="1"/>
      <c r="IS761" s="1"/>
      <c r="IT761" s="1"/>
      <c r="IU761" s="1"/>
    </row>
    <row r="762" spans="2:27" ht="15" customHeight="1">
      <c r="B762" s="161"/>
      <c r="C762" s="162" t="s">
        <v>177</v>
      </c>
      <c r="D762" s="163">
        <f>D741+D742+D743+D745+D746+D747+D749+D754+D759+D761</f>
        <v>324220</v>
      </c>
      <c r="E762" s="163" t="e">
        <f>(E741+#REF!+#REF!+E759+E761+E749+#REF!+E754)</f>
        <v>#REF!</v>
      </c>
      <c r="F762" s="164" t="e">
        <f>(F741+#REF!+#REF!+F759+F761+F749+#REF!+F754)</f>
        <v>#REF!</v>
      </c>
      <c r="G762" s="163">
        <f>G741+G742+G743+G745+G746+G747+G749+G754+G759+G761</f>
        <v>96057</v>
      </c>
      <c r="H762" s="163">
        <f aca="true" t="shared" si="201" ref="H762:O762">H741+H742+H743+H745+H746+H747+H749+H754+H759+H761</f>
        <v>276317</v>
      </c>
      <c r="I762" s="163">
        <f t="shared" si="201"/>
        <v>0</v>
      </c>
      <c r="J762" s="163">
        <f>J741+J742+J743+J745+J746+J747+J749+J754+J759+J761</f>
        <v>139469</v>
      </c>
      <c r="K762" s="163">
        <f t="shared" si="201"/>
        <v>58259</v>
      </c>
      <c r="L762" s="163">
        <f t="shared" si="201"/>
        <v>0</v>
      </c>
      <c r="M762" s="163">
        <f>M741+M742+M743+M745+M746+M747+M749+M754+M759+M761</f>
        <v>31914</v>
      </c>
      <c r="N762" s="163">
        <f t="shared" si="201"/>
        <v>9312</v>
      </c>
      <c r="O762" s="163">
        <f t="shared" si="201"/>
        <v>180</v>
      </c>
      <c r="P762" s="163">
        <f>P741+P742+P743+P745+P746+P747+P749+P754+P759+P761</f>
        <v>57160</v>
      </c>
      <c r="Q762" s="163" t="e">
        <f>(Q741+#REF!+#REF!+Q759+Q761+Q749+#REF!+Q754)+Q746</f>
        <v>#REF!</v>
      </c>
      <c r="R762" s="221"/>
      <c r="S762" s="221"/>
      <c r="T762" s="166"/>
      <c r="Z762" s="208"/>
      <c r="AA762" s="226">
        <f>D762+Z762</f>
        <v>324220</v>
      </c>
    </row>
    <row r="763" spans="2:20" ht="12.75" customHeight="1">
      <c r="B763" s="167"/>
      <c r="C763" s="168"/>
      <c r="D763" s="169"/>
      <c r="E763" s="169"/>
      <c r="F763" s="170"/>
      <c r="G763" s="169"/>
      <c r="H763" s="169"/>
      <c r="I763" s="170"/>
      <c r="J763" s="169"/>
      <c r="K763" s="169"/>
      <c r="L763" s="170"/>
      <c r="M763" s="169"/>
      <c r="N763" s="169"/>
      <c r="O763" s="170"/>
      <c r="P763" s="169"/>
      <c r="R763" s="165"/>
      <c r="S763" s="165"/>
      <c r="T763" s="166"/>
    </row>
    <row r="764" spans="2:20" ht="12.75" customHeight="1" hidden="1">
      <c r="B764" s="167"/>
      <c r="C764" s="168"/>
      <c r="D764" s="169"/>
      <c r="E764" s="169"/>
      <c r="F764" s="170"/>
      <c r="G764" s="169"/>
      <c r="H764" s="169"/>
      <c r="I764" s="170"/>
      <c r="J764" s="169"/>
      <c r="K764" s="169"/>
      <c r="L764" s="170"/>
      <c r="M764" s="169"/>
      <c r="N764" s="169"/>
      <c r="O764" s="170"/>
      <c r="P764" s="169"/>
      <c r="R764" s="165"/>
      <c r="S764" s="165"/>
      <c r="T764" s="166"/>
    </row>
    <row r="765" spans="2:20" ht="12.75" customHeight="1" hidden="1">
      <c r="B765" s="167"/>
      <c r="C765" s="171" t="s">
        <v>178</v>
      </c>
      <c r="D765" s="172">
        <f>D16+D25+D34+D44+D54+D64+D74+D84+D94+D104+D115+D126+D137+D147+D156+D165+D174+D182+D191+D201+D210+D219+D228+D237+D246+D255+D264+D273+D282+D291+D300+D309+D318+D327+D336+D348+D358+D367+D376+D385+D395+D405+D415+D424+D434+D443+D454+D464+D474+D507+D495+D519+D529+D485+D540+D550+D559+D568+D577+D586+D595+D606+D616+D626+D638+D650+D662+D683+D693+D699+D710+D721+D732+D672</f>
        <v>364350</v>
      </c>
      <c r="E765" s="172"/>
      <c r="F765" s="173"/>
      <c r="G765" s="172"/>
      <c r="H765" s="172"/>
      <c r="I765" s="173"/>
      <c r="J765" s="172"/>
      <c r="K765" s="172"/>
      <c r="L765" s="173"/>
      <c r="M765" s="172"/>
      <c r="N765" s="172"/>
      <c r="O765" s="173"/>
      <c r="P765" s="174"/>
      <c r="R765" s="165"/>
      <c r="S765" s="165"/>
      <c r="T765" s="166"/>
    </row>
    <row r="766" spans="2:20" ht="12.75" customHeight="1" hidden="1">
      <c r="B766" s="167"/>
      <c r="C766" s="175" t="s">
        <v>179</v>
      </c>
      <c r="D766" s="169">
        <f>D741+D742+D743+D745+D746+D747+D749+D754+D759</f>
        <v>324220</v>
      </c>
      <c r="E766" s="169"/>
      <c r="F766" s="170"/>
      <c r="G766" s="169"/>
      <c r="H766" s="169"/>
      <c r="I766" s="170"/>
      <c r="J766" s="169"/>
      <c r="K766" s="169"/>
      <c r="L766" s="170"/>
      <c r="M766" s="169"/>
      <c r="N766" s="169"/>
      <c r="O766" s="170"/>
      <c r="P766" s="176"/>
      <c r="R766" s="165"/>
      <c r="S766" s="165"/>
      <c r="T766" s="166"/>
    </row>
    <row r="767" spans="2:20" ht="12.75" customHeight="1" hidden="1">
      <c r="B767" s="167"/>
      <c r="C767" s="177" t="s">
        <v>41</v>
      </c>
      <c r="D767" s="178">
        <f>D38+D48+D58+D68+D78+D88+D98+D109+D120+D131+D141+D186+D195+D340+D352+D362+D371+D389+D399+D409+D419+D428+D438+D459+D468+D479+D512+D499+D523+D533+D489+D599+D610+D620+D630+D642+D654+D664+D677+D688+D693+D704+D715+D726</f>
        <v>27576</v>
      </c>
      <c r="E767" s="178"/>
      <c r="F767" s="179"/>
      <c r="G767" s="178"/>
      <c r="H767" s="178"/>
      <c r="I767" s="179"/>
      <c r="J767" s="178"/>
      <c r="K767" s="178"/>
      <c r="L767" s="179"/>
      <c r="M767" s="178"/>
      <c r="N767" s="178"/>
      <c r="O767" s="179"/>
      <c r="P767" s="180"/>
      <c r="R767" s="165"/>
      <c r="S767" s="165"/>
      <c r="T767" s="166"/>
    </row>
    <row r="768" spans="2:20" ht="12.75" customHeight="1" hidden="1">
      <c r="B768" s="167"/>
      <c r="C768" s="181"/>
      <c r="D768" s="169"/>
      <c r="E768" s="169"/>
      <c r="F768" s="170"/>
      <c r="G768" s="169"/>
      <c r="H768" s="169"/>
      <c r="I768" s="170"/>
      <c r="J768" s="169"/>
      <c r="K768" s="169"/>
      <c r="L768" s="170"/>
      <c r="M768" s="169"/>
      <c r="N768" s="169"/>
      <c r="O768" s="170"/>
      <c r="P768" s="169"/>
      <c r="R768" s="165"/>
      <c r="S768" s="165"/>
      <c r="T768" s="166"/>
    </row>
    <row r="769" spans="2:20" ht="12.75" customHeight="1" hidden="1">
      <c r="B769" s="167"/>
      <c r="C769" s="182"/>
      <c r="D769" s="172">
        <v>-13053</v>
      </c>
      <c r="E769" s="172"/>
      <c r="F769" s="173"/>
      <c r="G769" s="172"/>
      <c r="H769" s="172"/>
      <c r="I769" s="173"/>
      <c r="J769" s="172"/>
      <c r="K769" s="172"/>
      <c r="L769" s="173"/>
      <c r="M769" s="172"/>
      <c r="N769" s="172"/>
      <c r="O769" s="173"/>
      <c r="P769" s="174"/>
      <c r="R769" s="165"/>
      <c r="S769" s="165"/>
      <c r="T769" s="166"/>
    </row>
    <row r="770" spans="2:20" ht="12.75" customHeight="1" hidden="1">
      <c r="B770" s="167"/>
      <c r="C770" s="175" t="s">
        <v>47</v>
      </c>
      <c r="D770" s="169">
        <f>D769*0.15</f>
        <v>-1957.9499999999998</v>
      </c>
      <c r="E770" s="169"/>
      <c r="F770" s="170"/>
      <c r="G770" s="169"/>
      <c r="H770" s="169"/>
      <c r="I770" s="170"/>
      <c r="J770" s="169"/>
      <c r="K770" s="169"/>
      <c r="L770" s="169"/>
      <c r="M770" s="169"/>
      <c r="N770" s="169"/>
      <c r="O770" s="169"/>
      <c r="P770" s="176"/>
      <c r="R770" s="165"/>
      <c r="S770" s="165"/>
      <c r="T770" s="166"/>
    </row>
    <row r="771" spans="2:20" ht="12.75" customHeight="1" hidden="1">
      <c r="B771" s="167"/>
      <c r="C771" s="177" t="s">
        <v>49</v>
      </c>
      <c r="D771" s="178">
        <f>D769*0.85</f>
        <v>-11095.05</v>
      </c>
      <c r="E771" s="178"/>
      <c r="F771" s="179"/>
      <c r="G771" s="178"/>
      <c r="H771" s="178"/>
      <c r="I771" s="179"/>
      <c r="J771" s="178"/>
      <c r="K771" s="178"/>
      <c r="L771" s="178"/>
      <c r="M771" s="178"/>
      <c r="N771" s="178"/>
      <c r="O771" s="178"/>
      <c r="P771" s="180"/>
      <c r="R771" s="165"/>
      <c r="S771" s="165"/>
      <c r="T771" s="166"/>
    </row>
    <row r="772" spans="2:20" ht="12.75" customHeight="1" hidden="1">
      <c r="B772" s="167"/>
      <c r="C772" s="168"/>
      <c r="D772" s="169"/>
      <c r="E772" s="169"/>
      <c r="F772" s="170"/>
      <c r="G772" s="169"/>
      <c r="H772" s="169"/>
      <c r="I772" s="170"/>
      <c r="J772" s="169"/>
      <c r="K772" s="169"/>
      <c r="L772" s="170"/>
      <c r="M772" s="169"/>
      <c r="N772" s="169"/>
      <c r="O772" s="170"/>
      <c r="P772" s="169"/>
      <c r="R772" s="165"/>
      <c r="S772" s="165"/>
      <c r="T772" s="166"/>
    </row>
    <row r="773" spans="2:20" ht="12.75" customHeight="1">
      <c r="B773" s="167"/>
      <c r="C773" s="168"/>
      <c r="D773" s="169"/>
      <c r="E773" s="169"/>
      <c r="F773" s="170"/>
      <c r="G773" s="169"/>
      <c r="H773" s="169"/>
      <c r="I773" s="170"/>
      <c r="J773" s="169"/>
      <c r="K773" s="169"/>
      <c r="L773" s="170"/>
      <c r="M773" s="169"/>
      <c r="N773" s="169"/>
      <c r="O773" s="170"/>
      <c r="P773" s="169"/>
      <c r="R773" s="165"/>
      <c r="S773" s="165"/>
      <c r="T773" s="166"/>
    </row>
    <row r="774" spans="2:256" s="14" customFormat="1" ht="15">
      <c r="B774" s="234"/>
      <c r="C774" s="234"/>
      <c r="D774" s="234"/>
      <c r="E774" s="234"/>
      <c r="F774" s="234"/>
      <c r="G774" s="234"/>
      <c r="H774" s="234"/>
      <c r="I774" s="234"/>
      <c r="J774" s="234"/>
      <c r="K774" s="234"/>
      <c r="L774" s="234"/>
      <c r="M774" s="234"/>
      <c r="N774" s="234"/>
      <c r="O774" s="234"/>
      <c r="P774" s="234"/>
      <c r="Q774" s="234"/>
      <c r="R774" s="234"/>
      <c r="S774" s="234"/>
      <c r="Z774" s="202"/>
      <c r="IQ774" s="22"/>
      <c r="IR774" s="22"/>
      <c r="IS774" s="22"/>
      <c r="IT774" s="22"/>
      <c r="IU774" s="22"/>
      <c r="IV774" s="22"/>
    </row>
    <row r="775" spans="2:256" s="14" customFormat="1" ht="17.25" customHeight="1">
      <c r="B775" s="234"/>
      <c r="C775" s="234"/>
      <c r="D775" s="234"/>
      <c r="E775" s="234"/>
      <c r="F775" s="234"/>
      <c r="G775" s="234"/>
      <c r="H775" s="234"/>
      <c r="I775" s="234"/>
      <c r="J775" s="234"/>
      <c r="K775" s="234"/>
      <c r="L775" s="234"/>
      <c r="M775" s="234"/>
      <c r="N775" s="234"/>
      <c r="O775" s="234"/>
      <c r="P775" s="234"/>
      <c r="Q775" s="234"/>
      <c r="R775" s="234"/>
      <c r="S775" s="234"/>
      <c r="T775" s="14" t="s">
        <v>180</v>
      </c>
      <c r="U775" s="14" t="s">
        <v>181</v>
      </c>
      <c r="Z775" s="202"/>
      <c r="IQ775" s="22"/>
      <c r="IR775" s="22"/>
      <c r="IS775" s="22"/>
      <c r="IT775" s="22"/>
      <c r="IU775" s="22"/>
      <c r="IV775" s="22"/>
    </row>
    <row r="776" spans="2:256" s="14" customFormat="1" ht="32.25" customHeight="1">
      <c r="B776" s="183"/>
      <c r="C776" s="183" t="s">
        <v>187</v>
      </c>
      <c r="D776" s="194"/>
      <c r="E776" s="183"/>
      <c r="F776" s="183"/>
      <c r="G776" s="194"/>
      <c r="H776" s="194"/>
      <c r="I776" s="194"/>
      <c r="J776" s="183"/>
      <c r="K776" s="183"/>
      <c r="L776" s="194"/>
      <c r="M776" s="183"/>
      <c r="N776" s="183"/>
      <c r="O776" s="194"/>
      <c r="P776" s="183"/>
      <c r="Q776" s="184"/>
      <c r="R776" s="194"/>
      <c r="S776" s="185"/>
      <c r="T776" s="74">
        <f>D689+D657+D645+D621+D611+D601+D590+D480+D524+D514+D490+D502+D460+D449+D410+D400+D390+D380+D343+D331+D187+D178+D121+D99+D89+D79+D69+D59+D39+D29</f>
        <v>105779</v>
      </c>
      <c r="U776" s="74">
        <f>D621+D611+D601+D590+D502+D343+D121+D110+D99+D89+D79+D69+D59+D39+D29</f>
        <v>84026</v>
      </c>
      <c r="V776" s="74"/>
      <c r="Z776" s="202"/>
      <c r="IQ776" s="22"/>
      <c r="IR776" s="22"/>
      <c r="IS776" s="22"/>
      <c r="IT776" s="22"/>
      <c r="IU776" s="22"/>
      <c r="IV776" s="22"/>
    </row>
    <row r="777" spans="3:19" ht="15">
      <c r="C777" s="186" t="s">
        <v>188</v>
      </c>
      <c r="D777" s="229"/>
      <c r="H777" s="166"/>
      <c r="I777" s="166"/>
      <c r="J777" s="235"/>
      <c r="K777" s="235"/>
      <c r="L777" s="166"/>
      <c r="M777" s="2"/>
      <c r="N777" s="3"/>
      <c r="O777" s="166"/>
      <c r="P777" s="2"/>
      <c r="Q777" s="3"/>
      <c r="R777" s="166"/>
      <c r="S777" s="4"/>
    </row>
    <row r="778" spans="3:19" ht="15.75">
      <c r="C778" s="186"/>
      <c r="D778" s="229"/>
      <c r="H778" s="166"/>
      <c r="I778" s="166"/>
      <c r="J778" s="236"/>
      <c r="K778" s="236"/>
      <c r="L778" s="166"/>
      <c r="M778"/>
      <c r="N778" s="187"/>
      <c r="O778" s="166"/>
      <c r="P778" s="2"/>
      <c r="Q778" s="3"/>
      <c r="R778" s="166"/>
      <c r="S778" s="4"/>
    </row>
    <row r="779" spans="3:19" ht="20.25" customHeight="1">
      <c r="C779" s="227"/>
      <c r="D779" s="228"/>
      <c r="E779" s="228"/>
      <c r="F779" s="228"/>
      <c r="G779" s="228"/>
      <c r="H779" s="228"/>
      <c r="I779" s="228"/>
      <c r="J779" s="228"/>
      <c r="K779" s="228"/>
      <c r="L779" s="228"/>
      <c r="M779" s="228"/>
      <c r="N779" s="228"/>
      <c r="O779" s="228"/>
      <c r="P779" s="228"/>
      <c r="Q779" s="228"/>
      <c r="R779" s="228"/>
      <c r="S779" s="228"/>
    </row>
    <row r="780" spans="2:19" ht="18" customHeight="1">
      <c r="B780" s="237"/>
      <c r="C780" s="237"/>
      <c r="D780" s="237"/>
      <c r="H780" s="166"/>
      <c r="I780" s="166"/>
      <c r="J780" s="2"/>
      <c r="K780" s="3"/>
      <c r="L780" s="166"/>
      <c r="M780" s="2"/>
      <c r="N780" s="3"/>
      <c r="O780" s="166"/>
      <c r="P780" s="2"/>
      <c r="Q780" s="3"/>
      <c r="R780" s="166"/>
      <c r="S780" s="4"/>
    </row>
    <row r="781" spans="2:4" ht="48.75" customHeight="1">
      <c r="B781" s="238"/>
      <c r="C781" s="238"/>
      <c r="D781" s="238"/>
    </row>
    <row r="784" spans="3:4" ht="15">
      <c r="C784" s="188"/>
      <c r="D784" s="189"/>
    </row>
    <row r="785" spans="3:4" ht="15">
      <c r="C785" s="188"/>
      <c r="D785" s="189"/>
    </row>
    <row r="786" spans="3:4" ht="15">
      <c r="C786" s="188"/>
      <c r="D786" s="189"/>
    </row>
    <row r="787" spans="3:4" ht="15">
      <c r="C787" s="90"/>
      <c r="D787" s="189"/>
    </row>
    <row r="1005" ht="15"/>
    <row r="1006" ht="15"/>
    <row r="1007" ht="15"/>
    <row r="1008" ht="15"/>
    <row r="1009" ht="15"/>
    <row r="1010" ht="15"/>
    <row r="1011" ht="15"/>
    <row r="1012" ht="15"/>
    <row r="1013" ht="15"/>
    <row r="1014" ht="15"/>
    <row r="1015" ht="15"/>
    <row r="1016" ht="15"/>
    <row r="1017" ht="15"/>
    <row r="1018" ht="15"/>
    <row r="1019" ht="15"/>
    <row r="1020" ht="15"/>
    <row r="1021" ht="15"/>
  </sheetData>
  <sheetProtection selectLockedCells="1" selectUnlockedCells="1"/>
  <mergeCells count="54">
    <mergeCell ref="N1:P1"/>
    <mergeCell ref="B2:C2"/>
    <mergeCell ref="B3:D3"/>
    <mergeCell ref="B4:C4"/>
    <mergeCell ref="B10:D10"/>
    <mergeCell ref="B6:AA6"/>
    <mergeCell ref="R100:R101"/>
    <mergeCell ref="S100:S101"/>
    <mergeCell ref="T100:T101"/>
    <mergeCell ref="R111:R112"/>
    <mergeCell ref="S111:S112"/>
    <mergeCell ref="T111:T112"/>
    <mergeCell ref="B341:C341"/>
    <mergeCell ref="B342:D342"/>
    <mergeCell ref="B447:C447"/>
    <mergeCell ref="B448:D448"/>
    <mergeCell ref="R450:R451"/>
    <mergeCell ref="S450:S451"/>
    <mergeCell ref="T450:T451"/>
    <mergeCell ref="B500:C500"/>
    <mergeCell ref="B501:D501"/>
    <mergeCell ref="B631:C631"/>
    <mergeCell ref="B632:C632"/>
    <mergeCell ref="B643:C643"/>
    <mergeCell ref="B644:D644"/>
    <mergeCell ref="B655:C655"/>
    <mergeCell ref="B656:D656"/>
    <mergeCell ref="B665:C665"/>
    <mergeCell ref="B666:D666"/>
    <mergeCell ref="R668:R669"/>
    <mergeCell ref="S668:S669"/>
    <mergeCell ref="T668:T669"/>
    <mergeCell ref="R679:R680"/>
    <mergeCell ref="S679:S680"/>
    <mergeCell ref="T679:T680"/>
    <mergeCell ref="R690:R691"/>
    <mergeCell ref="S690:S691"/>
    <mergeCell ref="T690:T691"/>
    <mergeCell ref="T717:T718"/>
    <mergeCell ref="B736:C736"/>
    <mergeCell ref="B774:S774"/>
    <mergeCell ref="R695:R696"/>
    <mergeCell ref="S695:S696"/>
    <mergeCell ref="T695:T696"/>
    <mergeCell ref="R706:R707"/>
    <mergeCell ref="S706:S707"/>
    <mergeCell ref="T706:T707"/>
    <mergeCell ref="B775:S775"/>
    <mergeCell ref="J777:K777"/>
    <mergeCell ref="J778:K778"/>
    <mergeCell ref="B780:D780"/>
    <mergeCell ref="B781:D781"/>
    <mergeCell ref="R717:R718"/>
    <mergeCell ref="S717:S718"/>
  </mergeCells>
  <printOptions/>
  <pageMargins left="0.5511811023622047" right="0.4724409448818898" top="0.5118110236220472" bottom="0.5118110236220472" header="0.5118110236220472" footer="0.5118110236220472"/>
  <pageSetup fitToHeight="0" fitToWidth="1" horizontalDpi="600" verticalDpi="600" orientation="portrait" paperSize="9" scale="69" r:id="rId3"/>
  <headerFooter alignWithMargins="0">
    <oddFooter>&amp;C&amp;P</oddFooter>
  </headerFooter>
  <rowBreaks count="3" manualBreakCount="3">
    <brk id="489" min="1" max="26" man="1"/>
    <brk id="620" min="1" max="26" man="1"/>
    <brk id="753" min="1" max="26"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utilizator deip9</dc:creator>
  <cp:keywords/>
  <dc:description/>
  <cp:lastModifiedBy>utilizator deip17</cp:lastModifiedBy>
  <cp:lastPrinted>2024-03-26T13:01:29Z</cp:lastPrinted>
  <dcterms:created xsi:type="dcterms:W3CDTF">2024-02-07T09:21:31Z</dcterms:created>
  <dcterms:modified xsi:type="dcterms:W3CDTF">2024-03-26T13:01:34Z</dcterms:modified>
  <cp:category/>
  <cp:version/>
  <cp:contentType/>
  <cp:contentStatus/>
</cp:coreProperties>
</file>